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3\zmiany\kwiecień\"/>
    </mc:Choice>
  </mc:AlternateContent>
  <xr:revisionPtr revIDLastSave="0" documentId="8_{6BE693FF-B455-475B-A3BB-86F6C7A2247E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  <sheet name="Arkusz2" sheetId="2" r:id="rId2"/>
  </sheets>
  <definedNames>
    <definedName name="_xlnm.Print_Area" localSheetId="0">Arkusz1!$A$1:$AX$94</definedName>
    <definedName name="Print_Area" localSheetId="0">Arkusz1!$A$1:$AK$94</definedName>
    <definedName name="Print_Titles" localSheetId="0">Arkusz1!$A:$D,Arkusz1!$2:$2</definedName>
    <definedName name="_xlnm.Print_Titles" localSheetId="0">Arkusz1!$A:$D,Arkusz1!$2:$2</definedName>
  </definedNames>
  <calcPr calcId="191029"/>
</workbook>
</file>

<file path=xl/calcChain.xml><?xml version="1.0" encoding="utf-8"?>
<calcChain xmlns="http://schemas.openxmlformats.org/spreadsheetml/2006/main">
  <c r="E3" i="1" l="1"/>
  <c r="E56" i="1" s="1"/>
  <c r="F3" i="1"/>
  <c r="G3" i="1"/>
  <c r="H3" i="1"/>
  <c r="I3" i="1"/>
  <c r="J3" i="1"/>
  <c r="J56" i="1" s="1"/>
  <c r="K3" i="1"/>
  <c r="L3" i="1"/>
  <c r="M3" i="1"/>
  <c r="N3" i="1"/>
  <c r="O3" i="1"/>
  <c r="P3" i="1"/>
  <c r="Q3" i="1"/>
  <c r="Q56" i="1" s="1"/>
  <c r="Q60" i="1" s="1"/>
  <c r="R3" i="1"/>
  <c r="S3" i="1"/>
  <c r="T3" i="1"/>
  <c r="U3" i="1"/>
  <c r="V3" i="1"/>
  <c r="W3" i="1"/>
  <c r="X3" i="1"/>
  <c r="Y3" i="1"/>
  <c r="Y7" i="1"/>
  <c r="Y9" i="1" s="1"/>
  <c r="K8" i="1"/>
  <c r="M8" i="1"/>
  <c r="O8" i="1"/>
  <c r="Q8" i="1"/>
  <c r="T8" i="1"/>
  <c r="T56" i="1" s="1"/>
  <c r="V8" i="1"/>
  <c r="V9" i="1" s="1"/>
  <c r="X8" i="1"/>
  <c r="X56" i="1" s="1"/>
  <c r="U9" i="1"/>
  <c r="W9" i="1"/>
  <c r="X9" i="1"/>
  <c r="V13" i="1"/>
  <c r="X13" i="1"/>
  <c r="E14" i="1"/>
  <c r="E26" i="1" s="1"/>
  <c r="F14" i="1"/>
  <c r="G14" i="1"/>
  <c r="H14" i="1"/>
  <c r="I14" i="1"/>
  <c r="I26" i="1" s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V24" i="1"/>
  <c r="W24" i="1"/>
  <c r="X24" i="1"/>
  <c r="Y24" i="1"/>
  <c r="Y25" i="1"/>
  <c r="G28" i="1"/>
  <c r="K28" i="1"/>
  <c r="O28" i="1"/>
  <c r="E29" i="1"/>
  <c r="E28" i="1" s="1"/>
  <c r="F29" i="1"/>
  <c r="F28" i="1" s="1"/>
  <c r="H29" i="1"/>
  <c r="H28" i="1" s="1"/>
  <c r="J29" i="1"/>
  <c r="J28" i="1" s="1"/>
  <c r="L29" i="1"/>
  <c r="L28" i="1" s="1"/>
  <c r="M29" i="1"/>
  <c r="M28" i="1" s="1"/>
  <c r="N29" i="1"/>
  <c r="N28" i="1" s="1"/>
  <c r="P29" i="1"/>
  <c r="P28" i="1" s="1"/>
  <c r="Q29" i="1"/>
  <c r="Q28" i="1" s="1"/>
  <c r="R29" i="1"/>
  <c r="R28" i="1" s="1"/>
  <c r="S29" i="1"/>
  <c r="S28" i="1" s="1"/>
  <c r="T29" i="1"/>
  <c r="U29" i="1"/>
  <c r="U28" i="1" s="1"/>
  <c r="V29" i="1"/>
  <c r="X29" i="1"/>
  <c r="X28" i="1" s="1"/>
  <c r="Y29" i="1"/>
  <c r="E30" i="1"/>
  <c r="H30" i="1"/>
  <c r="J30" i="1"/>
  <c r="M30" i="1"/>
  <c r="T30" i="1"/>
  <c r="V31" i="1"/>
  <c r="W31" i="1"/>
  <c r="W28" i="1" s="1"/>
  <c r="Y31" i="1"/>
  <c r="Y54" i="1" s="1"/>
  <c r="M32" i="1"/>
  <c r="T32" i="1"/>
  <c r="X32" i="1"/>
  <c r="I33" i="1"/>
  <c r="I54" i="1" s="1"/>
  <c r="T33" i="1"/>
  <c r="T54" i="1" s="1"/>
  <c r="S34" i="1"/>
  <c r="I35" i="1"/>
  <c r="I37" i="1"/>
  <c r="E39" i="1"/>
  <c r="G39" i="1"/>
  <c r="H39" i="1"/>
  <c r="J39" i="1"/>
  <c r="K39" i="1"/>
  <c r="L39" i="1"/>
  <c r="M39" i="1"/>
  <c r="O39" i="1"/>
  <c r="P39" i="1"/>
  <c r="Q39" i="1"/>
  <c r="R39" i="1"/>
  <c r="S39" i="1"/>
  <c r="T39" i="1"/>
  <c r="U39" i="1"/>
  <c r="V39" i="1"/>
  <c r="W39" i="1"/>
  <c r="X39" i="1"/>
  <c r="Y39" i="1"/>
  <c r="F40" i="1"/>
  <c r="F39" i="1" s="1"/>
  <c r="N40" i="1"/>
  <c r="N39" i="1" s="1"/>
  <c r="I49" i="1"/>
  <c r="I39" i="1" s="1"/>
  <c r="E53" i="1"/>
  <c r="F53" i="1"/>
  <c r="G53" i="1"/>
  <c r="H53" i="1"/>
  <c r="I53" i="1"/>
  <c r="J53" i="1"/>
  <c r="K53" i="1"/>
  <c r="L53" i="1"/>
  <c r="M53" i="1"/>
  <c r="O53" i="1"/>
  <c r="P53" i="1"/>
  <c r="Q53" i="1"/>
  <c r="R53" i="1"/>
  <c r="S53" i="1"/>
  <c r="T53" i="1"/>
  <c r="U53" i="1"/>
  <c r="V53" i="1"/>
  <c r="W53" i="1"/>
  <c r="X53" i="1"/>
  <c r="Y53" i="1"/>
  <c r="E54" i="1"/>
  <c r="F54" i="1"/>
  <c r="G54" i="1"/>
  <c r="H54" i="1"/>
  <c r="J54" i="1"/>
  <c r="K54" i="1"/>
  <c r="L54" i="1"/>
  <c r="M54" i="1"/>
  <c r="N54" i="1"/>
  <c r="O54" i="1"/>
  <c r="P54" i="1"/>
  <c r="Q54" i="1"/>
  <c r="R54" i="1"/>
  <c r="S54" i="1"/>
  <c r="U54" i="1"/>
  <c r="X54" i="1"/>
  <c r="H56" i="1"/>
  <c r="I56" i="1"/>
  <c r="K56" i="1"/>
  <c r="S56" i="1"/>
  <c r="U56" i="1"/>
  <c r="W56" i="1"/>
  <c r="Y56" i="1"/>
  <c r="K58" i="1"/>
  <c r="F57" i="1"/>
  <c r="G57" i="1"/>
  <c r="H57" i="1"/>
  <c r="I57" i="1"/>
  <c r="J57" i="1"/>
  <c r="L57" i="1"/>
  <c r="N57" i="1"/>
  <c r="P57" i="1"/>
  <c r="M58" i="1"/>
  <c r="R60" i="1"/>
  <c r="R61" i="1"/>
  <c r="S63" i="1"/>
  <c r="T63" i="1"/>
  <c r="U63" i="1"/>
  <c r="V63" i="1"/>
  <c r="W63" i="1"/>
  <c r="X63" i="1"/>
  <c r="Y63" i="1"/>
  <c r="K64" i="1"/>
  <c r="M64" i="1"/>
  <c r="O64" i="1"/>
  <c r="Q64" i="1"/>
  <c r="R64" i="1"/>
  <c r="S64" i="1"/>
  <c r="T64" i="1"/>
  <c r="U64" i="1"/>
  <c r="V64" i="1"/>
  <c r="W64" i="1"/>
  <c r="X64" i="1"/>
  <c r="Y64" i="1"/>
  <c r="R65" i="1"/>
  <c r="T65" i="1"/>
  <c r="U65" i="1"/>
  <c r="W65" i="1"/>
  <c r="S66" i="1"/>
  <c r="T66" i="1"/>
  <c r="U66" i="1"/>
  <c r="V66" i="1"/>
  <c r="W66" i="1"/>
  <c r="X66" i="1"/>
  <c r="Y66" i="1"/>
  <c r="O67" i="1"/>
  <c r="Q67" i="1"/>
  <c r="R67" i="1"/>
  <c r="S67" i="1"/>
  <c r="T67" i="1"/>
  <c r="U67" i="1"/>
  <c r="V67" i="1"/>
  <c r="W67" i="1"/>
  <c r="X67" i="1"/>
  <c r="Y67" i="1"/>
  <c r="O68" i="1"/>
  <c r="Q68" i="1"/>
  <c r="T68" i="1"/>
  <c r="U68" i="1"/>
  <c r="V68" i="1"/>
  <c r="S69" i="1"/>
  <c r="T69" i="1"/>
  <c r="U69" i="1"/>
  <c r="V69" i="1"/>
  <c r="W69" i="1"/>
  <c r="X69" i="1"/>
  <c r="K70" i="1"/>
  <c r="M70" i="1"/>
  <c r="O70" i="1"/>
  <c r="Q70" i="1"/>
  <c r="R70" i="1"/>
  <c r="S70" i="1"/>
  <c r="T70" i="1"/>
  <c r="U70" i="1"/>
  <c r="V70" i="1"/>
  <c r="W70" i="1"/>
  <c r="X70" i="1"/>
  <c r="O71" i="1"/>
  <c r="Q71" i="1"/>
  <c r="R71" i="1"/>
  <c r="S71" i="1"/>
  <c r="T71" i="1"/>
  <c r="U71" i="1"/>
  <c r="V71" i="1"/>
  <c r="W71" i="1"/>
  <c r="X71" i="1"/>
  <c r="S72" i="1"/>
  <c r="T72" i="1"/>
  <c r="U72" i="1"/>
  <c r="V72" i="1"/>
  <c r="W72" i="1"/>
  <c r="X72" i="1"/>
  <c r="Y72" i="1"/>
  <c r="O73" i="1"/>
  <c r="Q73" i="1"/>
  <c r="R73" i="1"/>
  <c r="S73" i="1"/>
  <c r="T73" i="1"/>
  <c r="U73" i="1"/>
  <c r="V73" i="1"/>
  <c r="W73" i="1"/>
  <c r="X73" i="1"/>
  <c r="Y73" i="1"/>
  <c r="O74" i="1"/>
  <c r="R74" i="1"/>
  <c r="T74" i="1"/>
  <c r="U74" i="1"/>
  <c r="V74" i="1"/>
  <c r="W74" i="1"/>
  <c r="J76" i="1"/>
  <c r="U76" i="1"/>
  <c r="X76" i="1"/>
  <c r="Y76" i="1"/>
  <c r="F82" i="1"/>
  <c r="G82" i="1" s="1"/>
  <c r="I82" i="1" s="1"/>
  <c r="J82" i="1" s="1"/>
  <c r="M82" i="1" s="1"/>
  <c r="E83" i="1"/>
  <c r="F83" i="1"/>
  <c r="H83" i="1"/>
  <c r="I83" i="1"/>
  <c r="M83" i="1"/>
  <c r="G83" i="1"/>
  <c r="J83" i="1"/>
  <c r="S83" i="1"/>
  <c r="U83" i="1"/>
  <c r="W83" i="1"/>
  <c r="Y83" i="1"/>
  <c r="X93" i="1"/>
  <c r="V26" i="1" l="1"/>
  <c r="V27" i="1" s="1"/>
  <c r="J26" i="1"/>
  <c r="J62" i="1" s="1"/>
  <c r="X26" i="1"/>
  <c r="Q61" i="1"/>
  <c r="V56" i="1"/>
  <c r="W26" i="1"/>
  <c r="W27" i="1" s="1"/>
  <c r="K26" i="1"/>
  <c r="K62" i="1" s="1"/>
  <c r="T26" i="1"/>
  <c r="T34" i="1" s="1"/>
  <c r="R26" i="1"/>
  <c r="F26" i="1"/>
  <c r="F30" i="1" s="1"/>
  <c r="M56" i="1"/>
  <c r="M60" i="1" s="1"/>
  <c r="L26" i="1"/>
  <c r="L62" i="1" s="1"/>
  <c r="E50" i="1"/>
  <c r="N26" i="1"/>
  <c r="Q57" i="1"/>
  <c r="Y26" i="1"/>
  <c r="Y27" i="1" s="1"/>
  <c r="U26" i="1"/>
  <c r="U27" i="1" s="1"/>
  <c r="Y28" i="1"/>
  <c r="S26" i="1"/>
  <c r="S30" i="1" s="1"/>
  <c r="F56" i="1"/>
  <c r="V28" i="1"/>
  <c r="M26" i="1"/>
  <c r="M34" i="1" s="1"/>
  <c r="V30" i="1"/>
  <c r="W54" i="1"/>
  <c r="Q26" i="1"/>
  <c r="H26" i="1"/>
  <c r="H62" i="1" s="1"/>
  <c r="G26" i="1"/>
  <c r="G30" i="1" s="1"/>
  <c r="X30" i="1"/>
  <c r="I62" i="1"/>
  <c r="I34" i="1"/>
  <c r="V54" i="1"/>
  <c r="O26" i="1"/>
  <c r="G56" i="1"/>
  <c r="T28" i="1"/>
  <c r="P30" i="1"/>
  <c r="W32" i="1"/>
  <c r="V58" i="1"/>
  <c r="H58" i="1"/>
  <c r="H60" i="1" s="1"/>
  <c r="I58" i="1"/>
  <c r="I60" i="1" s="1"/>
  <c r="H59" i="1"/>
  <c r="I59" i="1"/>
  <c r="N30" i="1"/>
  <c r="O57" i="1"/>
  <c r="R30" i="1"/>
  <c r="Y57" i="1"/>
  <c r="M57" i="1"/>
  <c r="I28" i="1"/>
  <c r="X57" i="1"/>
  <c r="W57" i="1"/>
  <c r="K57" i="1"/>
  <c r="J58" i="1"/>
  <c r="J60" i="1" s="1"/>
  <c r="K60" i="1"/>
  <c r="V57" i="1"/>
  <c r="U57" i="1"/>
  <c r="T57" i="1"/>
  <c r="P56" i="1"/>
  <c r="K59" i="1"/>
  <c r="S57" i="1"/>
  <c r="O56" i="1"/>
  <c r="P26" i="1"/>
  <c r="J59" i="1"/>
  <c r="R57" i="1"/>
  <c r="U58" i="1"/>
  <c r="U60" i="1" s="1"/>
  <c r="W59" i="1"/>
  <c r="S58" i="1"/>
  <c r="S60" i="1" s="1"/>
  <c r="S59" i="1"/>
  <c r="T58" i="1"/>
  <c r="T60" i="1" s="1"/>
  <c r="T59" i="1"/>
  <c r="W58" i="1"/>
  <c r="W60" i="1" s="1"/>
  <c r="U59" i="1"/>
  <c r="Y58" i="1"/>
  <c r="Y60" i="1" s="1"/>
  <c r="M59" i="1"/>
  <c r="Y59" i="1"/>
  <c r="R34" i="1" l="1"/>
  <c r="W34" i="1"/>
  <c r="S62" i="1"/>
  <c r="Y34" i="1"/>
  <c r="O62" i="1"/>
  <c r="F50" i="1"/>
  <c r="Q34" i="1"/>
  <c r="Q62" i="1"/>
  <c r="M62" i="1"/>
  <c r="P62" i="1"/>
  <c r="I61" i="1"/>
  <c r="H61" i="1"/>
  <c r="P61" i="1"/>
  <c r="P60" i="1"/>
  <c r="O61" i="1"/>
  <c r="O60" i="1"/>
  <c r="J61" i="1"/>
  <c r="K61" i="1"/>
  <c r="Y61" i="1"/>
  <c r="T61" i="1"/>
  <c r="M61" i="1"/>
  <c r="S61" i="1"/>
  <c r="W61" i="1"/>
  <c r="U61" i="1"/>
  <c r="G50" i="1" l="1"/>
  <c r="H50" i="1"/>
  <c r="J50" i="1" l="1"/>
  <c r="I50" i="1"/>
  <c r="K50" i="1" l="1"/>
  <c r="L50" i="1"/>
  <c r="N50" i="1" l="1"/>
  <c r="M50" i="1"/>
  <c r="P50" i="1" l="1"/>
  <c r="O50" i="1"/>
  <c r="Q50" i="1" l="1"/>
  <c r="R50" i="1" l="1"/>
  <c r="S50" i="1"/>
  <c r="T50" i="1" l="1"/>
  <c r="U50" i="1"/>
  <c r="V50" i="1" l="1"/>
  <c r="W50" i="1"/>
  <c r="X50" i="1" l="1"/>
  <c r="Y50" i="1"/>
</calcChain>
</file>

<file path=xl/sharedStrings.xml><?xml version="1.0" encoding="utf-8"?>
<sst xmlns="http://schemas.openxmlformats.org/spreadsheetml/2006/main" count="239" uniqueCount="181">
  <si>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</si>
  <si>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</si>
  <si>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</si>
  <si>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</si>
  <si>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</si>
  <si>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</si>
  <si>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</si>
  <si>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</si>
  <si>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</si>
  <si>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 złotych</t>
  </si>
  <si>
    <t>Wydatki bieżące na pokrycie ujemnego wyniku finansowego samodzielnego publicznego zakładu opieki zdrowotnej</t>
  </si>
  <si>
    <t>III kw 2014</t>
  </si>
  <si>
    <t>III kw 2015</t>
  </si>
  <si>
    <t>III kw 2016</t>
  </si>
  <si>
    <t>III kw 2017</t>
  </si>
  <si>
    <t>III kw 2018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</si>
  <si>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</si>
  <si>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</si>
  <si>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</si>
  <si>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</si>
  <si>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</si>
  <si>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</si>
  <si>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</si>
  <si>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</si>
  <si>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</si>
  <si>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</si>
  <si>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</si>
  <si>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</si>
  <si>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</si>
  <si>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</si>
  <si>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</si>
  <si>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</si>
  <si>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III kw 2019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</si>
  <si>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</si>
  <si>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</si>
  <si>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</si>
  <si>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</si>
  <si>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</si>
  <si>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</si>
  <si>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</si>
  <si>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</si>
  <si>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</si>
  <si>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</si>
  <si>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</si>
  <si>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</si>
  <si>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</si>
  <si>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</si>
  <si>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</si>
  <si>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</si>
  <si>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</si>
  <si>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</si>
  <si>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</si>
  <si>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</si>
  <si>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</si>
  <si>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</si>
  <si>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</si>
  <si>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</si>
  <si>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</si>
  <si>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</si>
  <si>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</si>
  <si>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</si>
  <si>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</si>
  <si>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</si>
  <si>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</si>
  <si>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</si>
  <si>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</si>
  <si>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</si>
  <si>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</si>
  <si>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</si>
  <si>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</si>
  <si>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</si>
  <si>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</si>
  <si>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</si>
  <si>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</si>
  <si>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</si>
  <si>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</si>
  <si>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</si>
  <si>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</si>
  <si>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</si>
  <si>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</si>
  <si>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</si>
  <si>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</si>
  <si>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</si>
  <si>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</si>
  <si>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</si>
  <si>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</si>
  <si>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</si>
  <si>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</si>
  <si>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</si>
  <si>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</si>
  <si>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</si>
  <si>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</si>
  <si>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</si>
  <si>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</si>
  <si>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</si>
  <si>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</si>
  <si>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</si>
  <si>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</si>
  <si>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</si>
  <si>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</si>
  <si>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</si>
  <si>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</si>
  <si>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</si>
  <si>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</si>
  <si>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</si>
  <si>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</si>
  <si>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</si>
  <si>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</si>
  <si>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</si>
  <si>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</si>
  <si>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</si>
  <si>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</si>
  <si>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</si>
  <si>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</si>
  <si>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</si>
  <si>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</si>
  <si>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</si>
  <si>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</si>
  <si>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</si>
  <si>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</si>
  <si>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</si>
  <si>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</si>
  <si>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</si>
  <si>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</si>
  <si>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</si>
  <si>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</si>
  <si>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</si>
  <si>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</si>
  <si>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</si>
  <si>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</si>
  <si>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</si>
  <si>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</si>
  <si>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</si>
  <si>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</si>
  <si>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</si>
  <si>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</si>
  <si>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</si>
  <si>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</si>
  <si>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</si>
  <si>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</si>
  <si>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</si>
  <si>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</si>
  <si>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</si>
  <si>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</si>
  <si>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</si>
  <si>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</si>
  <si>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</si>
  <si>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</si>
  <si>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</si>
  <si>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</si>
  <si>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</si>
  <si>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</si>
  <si>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</si>
  <si>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</si>
  <si>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</si>
  <si>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</si>
  <si>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</si>
  <si>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</si>
  <si>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</si>
  <si>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</si>
  <si>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</si>
  <si>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</si>
  <si>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</si>
  <si>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</si>
  <si>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</si>
  <si>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</si>
  <si>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</si>
  <si>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</si>
  <si>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</si>
  <si>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</si>
  <si>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</si>
  <si>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</si>
  <si>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</si>
  <si>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</si>
  <si>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>III kw 2020</t>
  </si>
  <si>
    <t>III kw 2021</t>
  </si>
  <si>
    <t>III kw 2022</t>
  </si>
  <si>
    <t xml:space="preserve">I. Wieloletnia Prognoza Finansowa
</t>
  </si>
  <si>
    <t>0,00</t>
  </si>
  <si>
    <t>tak</t>
  </si>
  <si>
    <t>Zarządzenie nr PM-7679/2023
Prezydenta Miasta Gliwice
z dnia 24 kwietnia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</si>
</sst>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10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3" borderId="0" xfId="0" applyFont="1" applyFill="1"/>
    <xf numFmtId="0" fontId="5" fillId="0" borderId="0" xfId="0" applyFont="1"/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4" fontId="4" fillId="0" borderId="1" xfId="0" applyNumberFormat="1" applyFont="1" applyBorder="1"/>
    <xf numFmtId="4" fontId="4" fillId="0" borderId="1" xfId="0" applyNumberFormat="1" applyFont="1" applyFill="1" applyBorder="1"/>
    <xf numFmtId="4" fontId="4" fillId="3" borderId="1" xfId="0" applyNumberFormat="1" applyFont="1" applyFill="1" applyBorder="1"/>
    <xf numFmtId="4" fontId="4" fillId="4" borderId="1" xfId="0" applyNumberFormat="1" applyFont="1" applyFill="1" applyBorder="1"/>
    <xf numFmtId="0" fontId="4" fillId="0" borderId="0" xfId="0" applyFont="1"/>
    <xf numFmtId="4" fontId="5" fillId="0" borderId="1" xfId="0" applyNumberFormat="1" applyFont="1" applyBorder="1"/>
    <xf numFmtId="4" fontId="5" fillId="0" borderId="1" xfId="0" applyNumberFormat="1" applyFont="1" applyFill="1" applyBorder="1"/>
    <xf numFmtId="4" fontId="5" fillId="3" borderId="1" xfId="0" applyNumberFormat="1" applyFont="1" applyFill="1" applyBorder="1"/>
    <xf numFmtId="4" fontId="5" fillId="4" borderId="1" xfId="0" applyNumberFormat="1" applyFont="1" applyFill="1" applyBorder="1"/>
    <xf numFmtId="4" fontId="5" fillId="2" borderId="1" xfId="0" applyNumberFormat="1" applyFont="1" applyFill="1" applyBorder="1"/>
    <xf numFmtId="10" fontId="5" fillId="0" borderId="1" xfId="0" applyNumberFormat="1" applyFont="1" applyFill="1" applyBorder="1"/>
    <xf numFmtId="164" fontId="5" fillId="0" borderId="1" xfId="0" applyNumberFormat="1" applyFont="1" applyFill="1" applyBorder="1"/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0" fontId="5" fillId="0" borderId="0" xfId="0" applyFont="1" applyFill="1"/>
    <xf numFmtId="4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4" fontId="4" fillId="0" borderId="2" xfId="0" applyNumberFormat="1" applyFont="1" applyBorder="1" applyAlignment="1"/>
    <xf numFmtId="4" fontId="4" fillId="0" borderId="4" xfId="0" applyNumberFormat="1" applyFont="1" applyFill="1" applyBorder="1" applyAlignment="1"/>
    <xf numFmtId="4" fontId="4" fillId="0" borderId="4" xfId="0" applyNumberFormat="1" applyFont="1" applyBorder="1" applyAlignment="1"/>
    <xf numFmtId="4" fontId="4" fillId="4" borderId="4" xfId="0" applyNumberFormat="1" applyFont="1" applyFill="1" applyBorder="1" applyAlignment="1"/>
    <xf numFmtId="3" fontId="4" fillId="0" borderId="2" xfId="0" applyNumberFormat="1" applyFont="1" applyBorder="1"/>
    <xf numFmtId="3" fontId="4" fillId="0" borderId="2" xfId="0" applyNumberFormat="1" applyFont="1" applyBorder="1" applyAlignment="1"/>
    <xf numFmtId="3" fontId="4" fillId="0" borderId="4" xfId="0" applyNumberFormat="1" applyFont="1" applyFill="1" applyBorder="1" applyAlignment="1"/>
    <xf numFmtId="3" fontId="11" fillId="0" borderId="2" xfId="0" applyNumberFormat="1" applyFont="1" applyBorder="1" applyAlignment="1"/>
    <xf numFmtId="3" fontId="11" fillId="0" borderId="4" xfId="0" applyNumberFormat="1" applyFont="1" applyBorder="1" applyAlignment="1"/>
    <xf numFmtId="3" fontId="11" fillId="4" borderId="4" xfId="0" applyNumberFormat="1" applyFont="1" applyFill="1" applyBorder="1" applyAlignment="1"/>
    <xf numFmtId="10" fontId="12" fillId="0" borderId="1" xfId="0" applyNumberFormat="1" applyFont="1" applyBorder="1"/>
    <xf numFmtId="0" fontId="12" fillId="0" borderId="0" xfId="0" applyFont="1"/>
    <xf numFmtId="10" fontId="5" fillId="3" borderId="1" xfId="0" applyNumberFormat="1" applyFont="1" applyFill="1" applyBorder="1"/>
    <xf numFmtId="10" fontId="5" fillId="4" borderId="1" xfId="0" applyNumberFormat="1" applyFont="1" applyFill="1" applyBorder="1"/>
    <xf numFmtId="3" fontId="5" fillId="0" borderId="1" xfId="0" applyNumberFormat="1" applyFont="1" applyFill="1" applyBorder="1"/>
    <xf numFmtId="3" fontId="5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4" fontId="5" fillId="0" borderId="4" xfId="0" applyNumberFormat="1" applyFont="1" applyFill="1" applyBorder="1"/>
    <xf numFmtId="4" fontId="5" fillId="3" borderId="4" xfId="0" applyNumberFormat="1" applyFont="1" applyFill="1" applyBorder="1"/>
    <xf numFmtId="3" fontId="5" fillId="0" borderId="0" xfId="0" applyNumberFormat="1" applyFont="1"/>
    <xf numFmtId="4" fontId="5" fillId="0" borderId="4" xfId="0" applyNumberFormat="1" applyFont="1" applyBorder="1"/>
    <xf numFmtId="4" fontId="5" fillId="4" borderId="4" xfId="0" applyNumberFormat="1" applyFont="1" applyFill="1" applyBorder="1"/>
    <xf numFmtId="4" fontId="14" fillId="0" borderId="1" xfId="0" applyNumberFormat="1" applyFont="1" applyFill="1" applyBorder="1"/>
    <xf numFmtId="4" fontId="14" fillId="0" borderId="1" xfId="0" applyNumberFormat="1" applyFont="1" applyBorder="1"/>
    <xf numFmtId="4" fontId="14" fillId="3" borderId="1" xfId="0" applyNumberFormat="1" applyFont="1" applyFill="1" applyBorder="1"/>
    <xf numFmtId="4" fontId="14" fillId="4" borderId="1" xfId="0" applyNumberFormat="1" applyFont="1" applyFill="1" applyBorder="1"/>
    <xf numFmtId="0" fontId="14" fillId="0" borderId="0" xfId="0" applyFont="1"/>
    <xf numFmtId="10" fontId="14" fillId="0" borderId="1" xfId="0" applyNumberFormat="1" applyFont="1" applyFill="1" applyBorder="1"/>
    <xf numFmtId="10" fontId="14" fillId="3" borderId="1" xfId="0" applyNumberFormat="1" applyFont="1" applyFill="1" applyBorder="1"/>
    <xf numFmtId="10" fontId="14" fillId="4" borderId="1" xfId="0" applyNumberFormat="1" applyFont="1" applyFill="1" applyBorder="1"/>
    <xf numFmtId="3" fontId="14" fillId="0" borderId="1" xfId="0" applyNumberFormat="1" applyFont="1" applyBorder="1"/>
    <xf numFmtId="10" fontId="14" fillId="0" borderId="1" xfId="0" applyNumberFormat="1" applyFont="1" applyBorder="1"/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/>
    <xf numFmtId="4" fontId="4" fillId="0" borderId="7" xfId="0" applyNumberFormat="1" applyFont="1" applyBorder="1" applyAlignment="1"/>
    <xf numFmtId="4" fontId="4" fillId="0" borderId="8" xfId="0" applyNumberFormat="1" applyFont="1" applyBorder="1" applyAlignment="1"/>
    <xf numFmtId="4" fontId="4" fillId="0" borderId="7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3" fontId="11" fillId="0" borderId="7" xfId="0" applyNumberFormat="1" applyFont="1" applyBorder="1" applyAlignment="1"/>
    <xf numFmtId="3" fontId="11" fillId="0" borderId="8" xfId="0" applyNumberFormat="1" applyFont="1" applyBorder="1" applyAlignment="1"/>
    <xf numFmtId="0" fontId="4" fillId="0" borderId="8" xfId="0" applyFont="1" applyBorder="1"/>
    <xf numFmtId="0" fontId="5" fillId="0" borderId="12" xfId="0" applyFont="1" applyBorder="1"/>
    <xf numFmtId="3" fontId="5" fillId="0" borderId="12" xfId="0" applyNumberFormat="1" applyFont="1" applyBorder="1"/>
    <xf numFmtId="3" fontId="5" fillId="0" borderId="12" xfId="0" applyNumberFormat="1" applyFont="1" applyFill="1" applyBorder="1"/>
    <xf numFmtId="0" fontId="5" fillId="3" borderId="12" xfId="0" applyFont="1" applyFill="1" applyBorder="1"/>
    <xf numFmtId="0" fontId="5" fillId="0" borderId="12" xfId="0" applyFont="1" applyFill="1" applyBorder="1"/>
    <xf numFmtId="3" fontId="5" fillId="0" borderId="13" xfId="0" applyNumberFormat="1" applyFont="1" applyBorder="1"/>
    <xf numFmtId="4" fontId="5" fillId="0" borderId="13" xfId="0" applyNumberFormat="1" applyFont="1" applyBorder="1"/>
    <xf numFmtId="4" fontId="5" fillId="0" borderId="13" xfId="0" applyNumberFormat="1" applyFont="1" applyFill="1" applyBorder="1"/>
    <xf numFmtId="4" fontId="5" fillId="3" borderId="13" xfId="0" applyNumberFormat="1" applyFont="1" applyFill="1" applyBorder="1"/>
    <xf numFmtId="4" fontId="5" fillId="4" borderId="13" xfId="0" applyNumberFormat="1" applyFont="1" applyFill="1" applyBorder="1"/>
    <xf numFmtId="4" fontId="5" fillId="5" borderId="1" xfId="0" applyNumberFormat="1" applyFont="1" applyFill="1" applyBorder="1"/>
    <xf numFmtId="4" fontId="14" fillId="5" borderId="1" xfId="0" applyNumberFormat="1" applyFont="1" applyFill="1" applyBorder="1"/>
    <xf numFmtId="0" fontId="13" fillId="0" borderId="5" xfId="0" applyFont="1" applyFill="1" applyBorder="1" applyAlignment="1"/>
    <xf numFmtId="3" fontId="11" fillId="0" borderId="4" xfId="0" applyNumberFormat="1" applyFont="1" applyFill="1" applyBorder="1" applyAlignment="1"/>
    <xf numFmtId="4" fontId="4" fillId="0" borderId="2" xfId="0" applyNumberFormat="1" applyFont="1" applyFill="1" applyBorder="1" applyAlignment="1">
      <alignment horizontal="right"/>
    </xf>
    <xf numFmtId="0" fontId="2" fillId="0" borderId="15" xfId="0" applyFont="1" applyBorder="1"/>
    <xf numFmtId="0" fontId="6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/>
    <xf numFmtId="4" fontId="14" fillId="6" borderId="1" xfId="0" applyNumberFormat="1" applyFont="1" applyFill="1" applyBorder="1"/>
    <xf numFmtId="4" fontId="5" fillId="6" borderId="1" xfId="0" applyNumberFormat="1" applyFont="1" applyFill="1" applyBorder="1"/>
    <xf numFmtId="164" fontId="5" fillId="6" borderId="1" xfId="0" applyNumberFormat="1" applyFont="1" applyFill="1" applyBorder="1"/>
    <xf numFmtId="4" fontId="5" fillId="6" borderId="1" xfId="0" applyNumberFormat="1" applyFont="1" applyFill="1" applyBorder="1" applyAlignment="1">
      <alignment horizontal="right"/>
    </xf>
    <xf numFmtId="4" fontId="4" fillId="6" borderId="11" xfId="0" applyNumberFormat="1" applyFont="1" applyFill="1" applyBorder="1" applyAlignment="1"/>
    <xf numFmtId="3" fontId="11" fillId="6" borderId="11" xfId="0" applyNumberFormat="1" applyFont="1" applyFill="1" applyBorder="1" applyAlignment="1"/>
    <xf numFmtId="10" fontId="14" fillId="6" borderId="1" xfId="0" applyNumberFormat="1" applyFont="1" applyFill="1" applyBorder="1"/>
    <xf numFmtId="10" fontId="5" fillId="6" borderId="1" xfId="0" applyNumberFormat="1" applyFont="1" applyFill="1" applyBorder="1"/>
    <xf numFmtId="4" fontId="14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right"/>
    </xf>
    <xf numFmtId="4" fontId="5" fillId="6" borderId="13" xfId="0" applyNumberFormat="1" applyFont="1" applyFill="1" applyBorder="1"/>
    <xf numFmtId="4" fontId="5" fillId="7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/>
    <xf numFmtId="3" fontId="11" fillId="0" borderId="11" xfId="0" applyNumberFormat="1" applyFont="1" applyFill="1" applyBorder="1" applyAlignment="1"/>
    <xf numFmtId="4" fontId="4" fillId="0" borderId="4" xfId="0" applyNumberFormat="1" applyFont="1" applyFill="1" applyBorder="1" applyAlignment="1">
      <alignment horizontal="right"/>
    </xf>
    <xf numFmtId="0" fontId="6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/>
    <xf numFmtId="4" fontId="14" fillId="8" borderId="1" xfId="0" applyNumberFormat="1" applyFont="1" applyFill="1" applyBorder="1"/>
    <xf numFmtId="4" fontId="5" fillId="8" borderId="1" xfId="0" applyNumberFormat="1" applyFont="1" applyFill="1" applyBorder="1"/>
    <xf numFmtId="4" fontId="5" fillId="8" borderId="1" xfId="0" applyNumberFormat="1" applyFont="1" applyFill="1" applyBorder="1" applyAlignment="1">
      <alignment horizontal="right"/>
    </xf>
    <xf numFmtId="4" fontId="4" fillId="8" borderId="7" xfId="0" applyNumberFormat="1" applyFont="1" applyFill="1" applyBorder="1" applyAlignment="1"/>
    <xf numFmtId="3" fontId="11" fillId="8" borderId="7" xfId="0" applyNumberFormat="1" applyFont="1" applyFill="1" applyBorder="1" applyAlignment="1"/>
    <xf numFmtId="10" fontId="14" fillId="8" borderId="1" xfId="0" applyNumberFormat="1" applyFont="1" applyFill="1" applyBorder="1"/>
    <xf numFmtId="10" fontId="5" fillId="8" borderId="1" xfId="0" applyNumberFormat="1" applyFont="1" applyFill="1" applyBorder="1"/>
    <xf numFmtId="4" fontId="14" fillId="8" borderId="1" xfId="0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4" fillId="8" borderId="7" xfId="0" applyNumberFormat="1" applyFont="1" applyFill="1" applyBorder="1" applyAlignment="1">
      <alignment horizontal="right"/>
    </xf>
    <xf numFmtId="4" fontId="5" fillId="8" borderId="13" xfId="0" applyNumberFormat="1" applyFont="1" applyFill="1" applyBorder="1"/>
    <xf numFmtId="4" fontId="17" fillId="0" borderId="1" xfId="0" applyNumberFormat="1" applyFont="1" applyFill="1" applyBorder="1"/>
    <xf numFmtId="10" fontId="5" fillId="9" borderId="1" xfId="0" applyNumberFormat="1" applyFont="1" applyFill="1" applyBorder="1"/>
    <xf numFmtId="10" fontId="14" fillId="9" borderId="1" xfId="0" applyNumberFormat="1" applyFont="1" applyFill="1" applyBorder="1"/>
    <xf numFmtId="4" fontId="17" fillId="8" borderId="1" xfId="0" applyNumberFormat="1" applyFont="1" applyFill="1" applyBorder="1"/>
    <xf numFmtId="164" fontId="17" fillId="8" borderId="1" xfId="0" applyNumberFormat="1" applyFont="1" applyFill="1" applyBorder="1"/>
    <xf numFmtId="0" fontId="14" fillId="0" borderId="0" xfId="0" applyFont="1" applyFill="1"/>
    <xf numFmtId="0" fontId="14" fillId="0" borderId="1" xfId="0" quotePrefix="1" applyFont="1" applyFill="1" applyBorder="1"/>
    <xf numFmtId="0" fontId="5" fillId="0" borderId="1" xfId="0" quotePrefix="1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7" xfId="0" applyFont="1" applyFill="1" applyBorder="1"/>
    <xf numFmtId="0" fontId="14" fillId="0" borderId="1" xfId="0" applyFont="1" applyFill="1" applyBorder="1"/>
    <xf numFmtId="0" fontId="4" fillId="0" borderId="1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14" fillId="0" borderId="6" xfId="0" applyFont="1" applyFill="1" applyBorder="1"/>
    <xf numFmtId="0" fontId="14" fillId="0" borderId="7" xfId="0" applyFont="1" applyFill="1" applyBorder="1"/>
    <xf numFmtId="0" fontId="14" fillId="0" borderId="8" xfId="0" applyFont="1" applyFill="1" applyBorder="1"/>
    <xf numFmtId="0" fontId="5" fillId="0" borderId="8" xfId="0" quotePrefix="1" applyFont="1" applyFill="1" applyBorder="1" applyAlignment="1">
      <alignment wrapText="1"/>
    </xf>
    <xf numFmtId="0" fontId="5" fillId="0" borderId="1" xfId="0" applyFont="1" applyFill="1" applyBorder="1"/>
    <xf numFmtId="0" fontId="5" fillId="0" borderId="13" xfId="0" quotePrefix="1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4" xfId="0" applyFont="1" applyFill="1" applyBorder="1"/>
    <xf numFmtId="16" fontId="5" fillId="0" borderId="1" xfId="0" quotePrefix="1" applyNumberFormat="1" applyFont="1" applyFill="1" applyBorder="1"/>
    <xf numFmtId="0" fontId="5" fillId="0" borderId="8" xfId="0" applyFont="1" applyFill="1" applyBorder="1" applyAlignment="1">
      <alignment wrapText="1"/>
    </xf>
    <xf numFmtId="4" fontId="4" fillId="0" borderId="7" xfId="0" applyNumberFormat="1" applyFont="1" applyFill="1" applyBorder="1" applyAlignment="1"/>
    <xf numFmtId="3" fontId="11" fillId="0" borderId="7" xfId="0" applyNumberFormat="1" applyFont="1" applyFill="1" applyBorder="1" applyAlignment="1"/>
    <xf numFmtId="4" fontId="4" fillId="0" borderId="7" xfId="0" applyNumberFormat="1" applyFont="1" applyFill="1" applyBorder="1" applyAlignment="1">
      <alignment horizontal="right"/>
    </xf>
    <xf numFmtId="4" fontId="4" fillId="10" borderId="1" xfId="0" applyNumberFormat="1" applyFont="1" applyFill="1" applyBorder="1"/>
    <xf numFmtId="4" fontId="14" fillId="10" borderId="1" xfId="0" applyNumberFormat="1" applyFont="1" applyFill="1" applyBorder="1"/>
    <xf numFmtId="4" fontId="5" fillId="10" borderId="1" xfId="0" applyNumberFormat="1" applyFont="1" applyFill="1" applyBorder="1"/>
    <xf numFmtId="4" fontId="5" fillId="10" borderId="1" xfId="0" applyNumberFormat="1" applyFont="1" applyFill="1" applyBorder="1" applyAlignment="1">
      <alignment horizontal="right"/>
    </xf>
    <xf numFmtId="4" fontId="4" fillId="10" borderId="7" xfId="0" applyNumberFormat="1" applyFont="1" applyFill="1" applyBorder="1" applyAlignment="1"/>
    <xf numFmtId="3" fontId="11" fillId="10" borderId="7" xfId="0" applyNumberFormat="1" applyFont="1" applyFill="1" applyBorder="1" applyAlignment="1"/>
    <xf numFmtId="10" fontId="14" fillId="10" borderId="1" xfId="0" applyNumberFormat="1" applyFont="1" applyFill="1" applyBorder="1"/>
    <xf numFmtId="10" fontId="5" fillId="10" borderId="1" xfId="0" applyNumberFormat="1" applyFont="1" applyFill="1" applyBorder="1"/>
    <xf numFmtId="4" fontId="14" fillId="10" borderId="1" xfId="0" applyNumberFormat="1" applyFont="1" applyFill="1" applyBorder="1" applyAlignment="1">
      <alignment horizontal="center" vertical="center" wrapText="1"/>
    </xf>
    <xf numFmtId="4" fontId="5" fillId="10" borderId="1" xfId="0" applyNumberFormat="1" applyFont="1" applyFill="1" applyBorder="1" applyAlignment="1">
      <alignment horizontal="center" vertical="center" wrapText="1"/>
    </xf>
    <xf numFmtId="4" fontId="5" fillId="10" borderId="13" xfId="0" applyNumberFormat="1" applyFont="1" applyFill="1" applyBorder="1"/>
    <xf numFmtId="2" fontId="13" fillId="0" borderId="5" xfId="0" applyNumberFormat="1" applyFont="1" applyBorder="1" applyAlignment="1"/>
    <xf numFmtId="0" fontId="6" fillId="1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7" xfId="0" applyFont="1" applyFill="1" applyBorder="1" applyAlignment="1"/>
    <xf numFmtId="0" fontId="5" fillId="0" borderId="6" xfId="0" applyFont="1" applyFill="1" applyBorder="1" applyAlignment="1"/>
    <xf numFmtId="164" fontId="5" fillId="10" borderId="1" xfId="0" applyNumberFormat="1" applyFont="1" applyFill="1" applyBorder="1"/>
    <xf numFmtId="4" fontId="4" fillId="10" borderId="7" xfId="0" applyNumberFormat="1" applyFont="1" applyFill="1" applyBorder="1" applyAlignment="1">
      <alignment horizontal="right"/>
    </xf>
    <xf numFmtId="4" fontId="17" fillId="10" borderId="1" xfId="0" applyNumberFormat="1" applyFont="1" applyFill="1" applyBorder="1"/>
    <xf numFmtId="0" fontId="18" fillId="0" borderId="16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4" fillId="0" borderId="2" xfId="0" applyFont="1" applyFill="1" applyBorder="1" applyAlignment="1"/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0" fontId="5" fillId="0" borderId="6" xfId="0" applyFont="1" applyFill="1" applyBorder="1" applyAlignment="1"/>
    <xf numFmtId="0" fontId="14" fillId="0" borderId="6" xfId="0" applyFont="1" applyFill="1" applyBorder="1" applyAlignment="1">
      <alignment wrapText="1"/>
    </xf>
    <xf numFmtId="0" fontId="0" fillId="0" borderId="7" xfId="0" applyFill="1" applyBorder="1" applyAlignment="1"/>
    <xf numFmtId="0" fontId="0" fillId="0" borderId="8" xfId="0" applyFill="1" applyBorder="1" applyAlignment="1"/>
    <xf numFmtId="0" fontId="16" fillId="0" borderId="16" xfId="0" applyFont="1" applyBorder="1" applyAlignment="1">
      <alignment horizontal="left" wrapText="1"/>
    </xf>
    <xf numFmtId="0" fontId="16" fillId="0" borderId="17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8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0000FF"/>
      <color rgb="FF820000"/>
      <color rgb="FF4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947"/>
  <sheetViews>
    <sheetView showGridLines="0" tabSelected="1" zoomScale="85" zoomScaleNormal="85" zoomScaleSheetLayoutView="98" workbookViewId="0">
      <selection activeCell="AK1" sqref="AK1:AL1"/>
    </sheetView>
  </sheetViews>
  <sheetFormatPr defaultRowHeight="12" outlineLevelCol="2" x14ac:dyDescent="0.2"/>
  <cols>
    <col min="1" max="1" width="9.28515625" style="1" customWidth="1"/>
    <col min="2" max="3" width="6.5703125" style="1" customWidth="1"/>
    <col min="4" max="4" width="48.28515625" style="1" customWidth="1"/>
    <col min="5" max="6" width="15.42578125" style="2" hidden="1" customWidth="1" outlineLevel="2"/>
    <col min="7" max="7" width="17.28515625" style="2" hidden="1" customWidth="1" outlineLevel="2"/>
    <col min="8" max="8" width="15.42578125" style="2" hidden="1" customWidth="1" outlineLevel="2"/>
    <col min="9" max="9" width="15" style="4" hidden="1" customWidth="1" outlineLevel="2"/>
    <col min="10" max="10" width="15.28515625" style="2" hidden="1" customWidth="1" outlineLevel="2"/>
    <col min="11" max="11" width="17.85546875" style="2" hidden="1" customWidth="1" outlineLevel="2"/>
    <col min="12" max="12" width="15.42578125" style="2" hidden="1" customWidth="1" outlineLevel="2"/>
    <col min="13" max="13" width="19" style="4" hidden="1" customWidth="1" outlineLevel="2"/>
    <col min="14" max="14" width="15.5703125" style="4" hidden="1" customWidth="1" outlineLevel="2"/>
    <col min="15" max="15" width="17.42578125" style="4" hidden="1" customWidth="1" outlineLevel="2"/>
    <col min="16" max="16" width="17.28515625" style="3" hidden="1" customWidth="1" outlineLevel="2"/>
    <col min="17" max="17" width="16.7109375" style="5" hidden="1" customWidth="1" outlineLevel="2"/>
    <col min="18" max="18" width="17.28515625" style="3" hidden="1" customWidth="1" outlineLevel="2"/>
    <col min="19" max="19" width="17.28515625" style="1" hidden="1" customWidth="1" outlineLevel="2"/>
    <col min="20" max="20" width="17.42578125" style="3" hidden="1" customWidth="1" outlineLevel="2" collapsed="1"/>
    <col min="21" max="21" width="21" style="1" hidden="1" customWidth="1" outlineLevel="2"/>
    <col min="22" max="22" width="18.5703125" style="3" hidden="1" customWidth="1" outlineLevel="2"/>
    <col min="23" max="23" width="18" style="1" hidden="1" customWidth="1" outlineLevel="2"/>
    <col min="24" max="24" width="18" style="3" hidden="1" customWidth="1" outlineLevel="2"/>
    <col min="25" max="25" width="18" style="1" hidden="1" customWidth="1" outlineLevel="1"/>
    <col min="26" max="26" width="18" style="1" customWidth="1" collapsed="1"/>
    <col min="27" max="36" width="18" style="1" customWidth="1"/>
    <col min="37" max="38" width="18.5703125" style="1" customWidth="1"/>
    <col min="39" max="50" width="18.7109375" style="1" customWidth="1"/>
    <col min="51" max="16384" width="9.140625" style="1"/>
  </cols>
  <sheetData>
    <row r="1" spans="1:50" s="6" customFormat="1" ht="87.75" customHeight="1" x14ac:dyDescent="0.2">
      <c r="A1" s="209" t="s">
        <v>177</v>
      </c>
      <c r="B1" s="210"/>
      <c r="C1" s="210"/>
      <c r="D1" s="21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93"/>
      <c r="Q1" s="71"/>
      <c r="R1" s="71"/>
      <c r="S1" s="71"/>
      <c r="T1" s="93"/>
      <c r="U1" s="71"/>
      <c r="V1" s="93"/>
      <c r="W1" s="71"/>
      <c r="X1" s="93"/>
      <c r="Y1" s="71"/>
      <c r="Z1" s="170"/>
      <c r="AA1" s="71"/>
      <c r="AB1" s="71"/>
      <c r="AC1" s="71"/>
      <c r="AD1" s="71"/>
      <c r="AE1" s="71"/>
      <c r="AF1" s="71"/>
      <c r="AG1" s="71"/>
      <c r="AH1" s="71"/>
      <c r="AI1" s="96"/>
      <c r="AJ1" s="72"/>
      <c r="AK1" s="179" t="s">
        <v>180</v>
      </c>
      <c r="AL1" s="180"/>
      <c r="AM1" s="73"/>
      <c r="AN1" s="72" t="s">
        <v>9</v>
      </c>
      <c r="AO1" s="73"/>
      <c r="AP1" s="73"/>
      <c r="AQ1" s="73"/>
      <c r="AR1" s="73"/>
      <c r="AS1" s="73"/>
      <c r="AT1" s="73"/>
      <c r="AU1" s="73"/>
      <c r="AV1" s="73"/>
      <c r="AW1" s="73"/>
      <c r="AX1" s="72" t="s">
        <v>9</v>
      </c>
    </row>
    <row r="2" spans="1:50" s="11" customFormat="1" ht="23.25" customHeight="1" x14ac:dyDescent="0.15">
      <c r="A2" s="213" t="s">
        <v>0</v>
      </c>
      <c r="B2" s="214"/>
      <c r="C2" s="214"/>
      <c r="D2" s="215"/>
      <c r="E2" s="7">
        <v>2011</v>
      </c>
      <c r="F2" s="7">
        <v>2012</v>
      </c>
      <c r="G2" s="7">
        <v>2013</v>
      </c>
      <c r="H2" s="7" t="s">
        <v>11</v>
      </c>
      <c r="I2" s="8">
        <v>2014</v>
      </c>
      <c r="J2" s="8" t="s">
        <v>12</v>
      </c>
      <c r="K2" s="8">
        <v>2015</v>
      </c>
      <c r="L2" s="8" t="s">
        <v>13</v>
      </c>
      <c r="M2" s="8">
        <v>2016</v>
      </c>
      <c r="N2" s="8" t="s">
        <v>14</v>
      </c>
      <c r="O2" s="8">
        <v>2017</v>
      </c>
      <c r="P2" s="8" t="s">
        <v>15</v>
      </c>
      <c r="Q2" s="9">
        <v>2018</v>
      </c>
      <c r="R2" s="8" t="s">
        <v>32</v>
      </c>
      <c r="S2" s="10">
        <v>2019</v>
      </c>
      <c r="T2" s="8" t="s">
        <v>174</v>
      </c>
      <c r="U2" s="97">
        <v>2020</v>
      </c>
      <c r="V2" s="8" t="s">
        <v>175</v>
      </c>
      <c r="W2" s="116">
        <v>2021</v>
      </c>
      <c r="X2" s="8" t="s">
        <v>176</v>
      </c>
      <c r="Y2" s="171">
        <v>2022</v>
      </c>
      <c r="Z2" s="7">
        <v>2023</v>
      </c>
      <c r="AA2" s="7">
        <v>2024</v>
      </c>
      <c r="AB2" s="7">
        <v>2025</v>
      </c>
      <c r="AC2" s="7">
        <v>2026</v>
      </c>
      <c r="AD2" s="7">
        <v>2027</v>
      </c>
      <c r="AE2" s="7">
        <v>2028</v>
      </c>
      <c r="AF2" s="7">
        <v>2029</v>
      </c>
      <c r="AG2" s="7">
        <v>2030</v>
      </c>
      <c r="AH2" s="7">
        <v>2031</v>
      </c>
      <c r="AI2" s="7">
        <v>2032</v>
      </c>
      <c r="AJ2" s="7">
        <v>2033</v>
      </c>
      <c r="AK2" s="7">
        <v>2034</v>
      </c>
      <c r="AL2" s="7">
        <v>2035</v>
      </c>
      <c r="AM2" s="7">
        <v>2036</v>
      </c>
      <c r="AN2" s="7">
        <v>2037</v>
      </c>
      <c r="AO2" s="7">
        <v>2038</v>
      </c>
      <c r="AP2" s="7">
        <v>2039</v>
      </c>
      <c r="AQ2" s="7">
        <v>2040</v>
      </c>
      <c r="AR2" s="7">
        <v>2041</v>
      </c>
      <c r="AS2" s="7">
        <v>2042</v>
      </c>
      <c r="AT2" s="7">
        <v>2043</v>
      </c>
      <c r="AU2" s="7">
        <v>2044</v>
      </c>
      <c r="AV2" s="7">
        <v>2045</v>
      </c>
      <c r="AW2" s="7">
        <v>2046</v>
      </c>
      <c r="AX2" s="7">
        <v>2047</v>
      </c>
    </row>
    <row r="3" spans="1:50" s="16" customFormat="1" ht="15" customHeight="1" x14ac:dyDescent="0.15">
      <c r="A3" s="195" t="s">
        <v>120</v>
      </c>
      <c r="B3" s="196"/>
      <c r="C3" s="196"/>
      <c r="D3" s="197"/>
      <c r="E3" s="12">
        <f t="shared" ref="E3:Y3" si="0">E4+E11</f>
        <v>796155355.32000005</v>
      </c>
      <c r="F3" s="12">
        <f t="shared" si="0"/>
        <v>870581082.27999997</v>
      </c>
      <c r="G3" s="12">
        <f t="shared" si="0"/>
        <v>1049140087.86</v>
      </c>
      <c r="H3" s="12">
        <f t="shared" si="0"/>
        <v>1450940337.0999999</v>
      </c>
      <c r="I3" s="13">
        <f t="shared" si="0"/>
        <v>1313075832.3000002</v>
      </c>
      <c r="J3" s="12">
        <f t="shared" si="0"/>
        <v>1385449968.2</v>
      </c>
      <c r="K3" s="12">
        <f t="shared" si="0"/>
        <v>1415463172.8699999</v>
      </c>
      <c r="L3" s="12">
        <f t="shared" si="0"/>
        <v>1080999331.9200001</v>
      </c>
      <c r="M3" s="13">
        <f t="shared" si="0"/>
        <v>1055986096.7199999</v>
      </c>
      <c r="N3" s="13">
        <f t="shared" si="0"/>
        <v>1165581812.1499999</v>
      </c>
      <c r="O3" s="13">
        <f t="shared" si="0"/>
        <v>1142513573.9300001</v>
      </c>
      <c r="P3" s="13">
        <f t="shared" si="0"/>
        <v>1233136709.8800001</v>
      </c>
      <c r="Q3" s="14">
        <f t="shared" si="0"/>
        <v>1212988376.76</v>
      </c>
      <c r="R3" s="13">
        <f t="shared" si="0"/>
        <v>1279133028.8899999</v>
      </c>
      <c r="S3" s="15">
        <f t="shared" si="0"/>
        <v>1304434711.6700001</v>
      </c>
      <c r="T3" s="12">
        <f t="shared" si="0"/>
        <v>1498127867.8200002</v>
      </c>
      <c r="U3" s="98">
        <f t="shared" si="0"/>
        <v>1585232151.47</v>
      </c>
      <c r="V3" s="13">
        <f t="shared" si="0"/>
        <v>1481427394.4900002</v>
      </c>
      <c r="W3" s="117">
        <f t="shared" si="0"/>
        <v>1642713037</v>
      </c>
      <c r="X3" s="12">
        <f t="shared" si="0"/>
        <v>1592867074.71</v>
      </c>
      <c r="Y3" s="159">
        <f t="shared" si="0"/>
        <v>1588231959.8299999</v>
      </c>
      <c r="Z3" s="12">
        <v>1497177021.6799998</v>
      </c>
      <c r="AA3" s="12">
        <v>1543157915.0999999</v>
      </c>
      <c r="AB3" s="12">
        <v>1550690182.22</v>
      </c>
      <c r="AC3" s="12">
        <v>1621832344.76</v>
      </c>
      <c r="AD3" s="12">
        <v>1644858226.24</v>
      </c>
      <c r="AE3" s="12">
        <v>1692061356.4100001</v>
      </c>
      <c r="AF3" s="12">
        <v>1752427714.72</v>
      </c>
      <c r="AG3" s="12">
        <v>1816957670.0799999</v>
      </c>
      <c r="AH3" s="12">
        <v>1878994727.5999999</v>
      </c>
      <c r="AI3" s="12">
        <v>1938426000.78</v>
      </c>
      <c r="AJ3" s="12">
        <v>1991376198.1800001</v>
      </c>
      <c r="AK3" s="12">
        <v>2039201977.9300001</v>
      </c>
      <c r="AL3" s="12">
        <v>2082530524.1400001</v>
      </c>
      <c r="AM3" s="12">
        <v>2129823337.6900001</v>
      </c>
      <c r="AN3" s="12">
        <v>2178261490.1199999</v>
      </c>
      <c r="AO3" s="12">
        <v>2229055671.1199999</v>
      </c>
      <c r="AP3" s="12">
        <v>2279869848.9099998</v>
      </c>
      <c r="AQ3" s="12">
        <v>2331946559.71</v>
      </c>
      <c r="AR3" s="12">
        <v>2386222121.6599998</v>
      </c>
      <c r="AS3" s="12">
        <v>2440604612.29</v>
      </c>
      <c r="AT3" s="12">
        <v>2496340055.8099999</v>
      </c>
      <c r="AU3" s="12">
        <v>2554705686.0700002</v>
      </c>
      <c r="AV3" s="12">
        <v>2613252546.21</v>
      </c>
      <c r="AW3" s="12">
        <v>2673259749.3000002</v>
      </c>
      <c r="AX3" s="12">
        <v>2736038445.46</v>
      </c>
    </row>
    <row r="4" spans="1:50" s="62" customFormat="1" ht="15" customHeight="1" x14ac:dyDescent="0.15">
      <c r="A4" s="135" t="s">
        <v>47</v>
      </c>
      <c r="B4" s="192" t="s">
        <v>153</v>
      </c>
      <c r="C4" s="193"/>
      <c r="D4" s="194"/>
      <c r="E4" s="58">
        <v>730048987.20000005</v>
      </c>
      <c r="F4" s="58">
        <v>776204154.04999995</v>
      </c>
      <c r="G4" s="58">
        <v>797405546.86000001</v>
      </c>
      <c r="H4" s="59">
        <v>842562856.10000002</v>
      </c>
      <c r="I4" s="58">
        <v>863704863.94000006</v>
      </c>
      <c r="J4" s="59">
        <v>883260033.03999996</v>
      </c>
      <c r="K4" s="59">
        <v>874640973.69000006</v>
      </c>
      <c r="L4" s="59">
        <v>958648495.47000003</v>
      </c>
      <c r="M4" s="58">
        <v>980888178.42999995</v>
      </c>
      <c r="N4" s="58">
        <v>1077273585.5899999</v>
      </c>
      <c r="O4" s="58">
        <v>1040159989.45</v>
      </c>
      <c r="P4" s="58">
        <v>1074887804.9100001</v>
      </c>
      <c r="Q4" s="60">
        <v>1102310805.8399999</v>
      </c>
      <c r="R4" s="58">
        <v>1156830500.0599999</v>
      </c>
      <c r="S4" s="61">
        <v>1215019953.96</v>
      </c>
      <c r="T4" s="58">
        <v>1294895972.9100001</v>
      </c>
      <c r="U4" s="99">
        <v>1404859161.2</v>
      </c>
      <c r="V4" s="58">
        <v>1329603358.8800001</v>
      </c>
      <c r="W4" s="118">
        <v>1433474821.79</v>
      </c>
      <c r="X4" s="58">
        <v>1331741141.73</v>
      </c>
      <c r="Y4" s="160">
        <v>1404262585.3599999</v>
      </c>
      <c r="Z4" s="58">
        <v>1314348278.3199999</v>
      </c>
      <c r="AA4" s="58">
        <v>1384890779.96</v>
      </c>
      <c r="AB4" s="58">
        <v>1445732600.55</v>
      </c>
      <c r="AC4" s="58">
        <v>1505874763.0899999</v>
      </c>
      <c r="AD4" s="58">
        <v>1561212226.24</v>
      </c>
      <c r="AE4" s="58">
        <v>1614415356.4100001</v>
      </c>
      <c r="AF4" s="58">
        <v>1679781714.72</v>
      </c>
      <c r="AG4" s="58">
        <v>1749311670.0799999</v>
      </c>
      <c r="AH4" s="58">
        <v>1816348727.5999999</v>
      </c>
      <c r="AI4" s="58">
        <v>1880780000.78</v>
      </c>
      <c r="AJ4" s="58">
        <v>1938730198.1800001</v>
      </c>
      <c r="AK4" s="58">
        <v>1991555977.9300001</v>
      </c>
      <c r="AL4" s="58">
        <v>2038884524.1400001</v>
      </c>
      <c r="AM4" s="58">
        <v>2086177337.6900001</v>
      </c>
      <c r="AN4" s="58">
        <v>2134615490.1199999</v>
      </c>
      <c r="AO4" s="58">
        <v>2185409671.1199999</v>
      </c>
      <c r="AP4" s="58">
        <v>2236223848.9099998</v>
      </c>
      <c r="AQ4" s="58">
        <v>2288300559.71</v>
      </c>
      <c r="AR4" s="58">
        <v>2342576121.6599998</v>
      </c>
      <c r="AS4" s="58">
        <v>2396958612.29</v>
      </c>
      <c r="AT4" s="58">
        <v>2452694055.8099999</v>
      </c>
      <c r="AU4" s="58">
        <v>2511059686.0700002</v>
      </c>
      <c r="AV4" s="58">
        <v>2569606546.21</v>
      </c>
      <c r="AW4" s="58">
        <v>2629613749.3000002</v>
      </c>
      <c r="AX4" s="58">
        <v>2692392445.46</v>
      </c>
    </row>
    <row r="5" spans="1:50" s="6" customFormat="1" ht="21" customHeight="1" x14ac:dyDescent="0.15">
      <c r="A5" s="136" t="s">
        <v>48</v>
      </c>
      <c r="B5" s="137"/>
      <c r="C5" s="182" t="s">
        <v>33</v>
      </c>
      <c r="D5" s="183"/>
      <c r="E5" s="17"/>
      <c r="F5" s="17"/>
      <c r="G5" s="17"/>
      <c r="H5" s="18"/>
      <c r="I5" s="18">
        <v>228208752</v>
      </c>
      <c r="J5" s="18"/>
      <c r="K5" s="18"/>
      <c r="L5" s="18"/>
      <c r="M5" s="18"/>
      <c r="N5" s="18"/>
      <c r="O5" s="18">
        <v>278310804</v>
      </c>
      <c r="P5" s="18"/>
      <c r="Q5" s="19"/>
      <c r="R5" s="18"/>
      <c r="S5" s="20">
        <v>334590918</v>
      </c>
      <c r="T5" s="18"/>
      <c r="U5" s="100">
        <v>327150823</v>
      </c>
      <c r="V5" s="21">
        <v>331060568</v>
      </c>
      <c r="W5" s="119">
        <v>358350709</v>
      </c>
      <c r="X5" s="18">
        <v>310037124</v>
      </c>
      <c r="Y5" s="161">
        <v>353326302.48000002</v>
      </c>
      <c r="Z5" s="18">
        <v>294660054</v>
      </c>
      <c r="AA5" s="18">
        <v>316317567.97000003</v>
      </c>
      <c r="AB5" s="18">
        <v>341401551.11000001</v>
      </c>
      <c r="AC5" s="18">
        <v>370386542.80000001</v>
      </c>
      <c r="AD5" s="18">
        <v>401721244.31999999</v>
      </c>
      <c r="AE5" s="18">
        <v>435184623.97000003</v>
      </c>
      <c r="AF5" s="18">
        <v>469955875.43000001</v>
      </c>
      <c r="AG5" s="18">
        <v>505202566.08999997</v>
      </c>
      <c r="AH5" s="18">
        <v>538040732.88999999</v>
      </c>
      <c r="AI5" s="18">
        <v>567632973.20000005</v>
      </c>
      <c r="AJ5" s="18">
        <v>593176456.99000001</v>
      </c>
      <c r="AK5" s="18">
        <v>613937632.98000002</v>
      </c>
      <c r="AL5" s="18">
        <v>629286073.79999995</v>
      </c>
      <c r="AM5" s="18">
        <v>645018225.64999998</v>
      </c>
      <c r="AN5" s="18">
        <v>661143681.28999996</v>
      </c>
      <c r="AO5" s="18">
        <v>677672273.32000005</v>
      </c>
      <c r="AP5" s="18">
        <v>694614080.14999998</v>
      </c>
      <c r="AQ5" s="18">
        <v>711979432.14999998</v>
      </c>
      <c r="AR5" s="18">
        <v>729778917.95000005</v>
      </c>
      <c r="AS5" s="18">
        <v>748023390.89999998</v>
      </c>
      <c r="AT5" s="18">
        <v>766723975.66999996</v>
      </c>
      <c r="AU5" s="18">
        <v>785892075.05999994</v>
      </c>
      <c r="AV5" s="18">
        <v>805539376.94000006</v>
      </c>
      <c r="AW5" s="18">
        <v>825677861.36000001</v>
      </c>
      <c r="AX5" s="18">
        <v>846319807.88999999</v>
      </c>
    </row>
    <row r="6" spans="1:50" s="6" customFormat="1" ht="21.75" customHeight="1" x14ac:dyDescent="0.2">
      <c r="A6" s="136" t="s">
        <v>49</v>
      </c>
      <c r="B6" s="137"/>
      <c r="C6" s="212" t="s">
        <v>34</v>
      </c>
      <c r="D6" s="201"/>
      <c r="E6" s="17"/>
      <c r="F6" s="17"/>
      <c r="G6" s="17"/>
      <c r="H6" s="18"/>
      <c r="I6" s="18"/>
      <c r="J6" s="18"/>
      <c r="K6" s="18"/>
      <c r="L6" s="18"/>
      <c r="M6" s="18"/>
      <c r="N6" s="18"/>
      <c r="O6" s="18"/>
      <c r="P6" s="18"/>
      <c r="Q6" s="19"/>
      <c r="R6" s="18"/>
      <c r="S6" s="20">
        <v>26801628.16</v>
      </c>
      <c r="T6" s="18"/>
      <c r="U6" s="100">
        <v>26378559.960000001</v>
      </c>
      <c r="V6" s="21">
        <v>22673618</v>
      </c>
      <c r="W6" s="119">
        <v>37800690.950000003</v>
      </c>
      <c r="X6" s="18">
        <v>35552170</v>
      </c>
      <c r="Y6" s="161">
        <v>35552170</v>
      </c>
      <c r="Z6" s="18">
        <v>47643337</v>
      </c>
      <c r="AA6" s="18">
        <v>51145122.270000003</v>
      </c>
      <c r="AB6" s="18">
        <v>55200930.469999999</v>
      </c>
      <c r="AC6" s="18">
        <v>59887489.469999999</v>
      </c>
      <c r="AD6" s="18">
        <v>64953971.079999998</v>
      </c>
      <c r="AE6" s="18">
        <v>70364636.870000005</v>
      </c>
      <c r="AF6" s="18">
        <v>75986771.359999999</v>
      </c>
      <c r="AG6" s="18">
        <v>81685779.209999993</v>
      </c>
      <c r="AH6" s="18">
        <v>86995354.859999999</v>
      </c>
      <c r="AI6" s="18">
        <v>91780099.379999995</v>
      </c>
      <c r="AJ6" s="18">
        <v>95910203.849999994</v>
      </c>
      <c r="AK6" s="18">
        <v>99267060.980000004</v>
      </c>
      <c r="AL6" s="18">
        <v>101748737.5</v>
      </c>
      <c r="AM6" s="18">
        <v>104292455.94</v>
      </c>
      <c r="AN6" s="18">
        <v>106899767.34</v>
      </c>
      <c r="AO6" s="18">
        <v>109572261.52</v>
      </c>
      <c r="AP6" s="18">
        <v>112311568.06</v>
      </c>
      <c r="AQ6" s="18">
        <v>115119357.26000001</v>
      </c>
      <c r="AR6" s="18">
        <v>117997341.19</v>
      </c>
      <c r="AS6" s="18">
        <v>120947274.72</v>
      </c>
      <c r="AT6" s="18">
        <v>123970956.59</v>
      </c>
      <c r="AU6" s="18">
        <v>127070230.5</v>
      </c>
      <c r="AV6" s="18">
        <v>130246986.26000001</v>
      </c>
      <c r="AW6" s="18">
        <v>133503160.92</v>
      </c>
      <c r="AX6" s="18">
        <v>136840739.94</v>
      </c>
    </row>
    <row r="7" spans="1:50" s="6" customFormat="1" ht="15" customHeight="1" x14ac:dyDescent="0.15">
      <c r="A7" s="136" t="s">
        <v>50</v>
      </c>
      <c r="B7" s="137"/>
      <c r="C7" s="182" t="s">
        <v>2</v>
      </c>
      <c r="D7" s="183"/>
      <c r="E7" s="17"/>
      <c r="F7" s="17"/>
      <c r="G7" s="17"/>
      <c r="H7" s="18"/>
      <c r="I7" s="22"/>
      <c r="J7" s="18"/>
      <c r="K7" s="18"/>
      <c r="L7" s="18"/>
      <c r="M7" s="18"/>
      <c r="N7" s="18"/>
      <c r="O7" s="22"/>
      <c r="P7" s="18"/>
      <c r="Q7" s="19"/>
      <c r="R7" s="18"/>
      <c r="S7" s="20">
        <v>236343721</v>
      </c>
      <c r="T7" s="18"/>
      <c r="U7" s="100">
        <v>273788857</v>
      </c>
      <c r="V7" s="18">
        <v>273990666</v>
      </c>
      <c r="W7" s="119">
        <v>314867810</v>
      </c>
      <c r="X7" s="18">
        <v>282765034</v>
      </c>
      <c r="Y7" s="161">
        <f>282863145+68854</f>
        <v>282931999</v>
      </c>
      <c r="Z7" s="18">
        <v>321535865</v>
      </c>
      <c r="AA7" s="18">
        <v>385255219.31999999</v>
      </c>
      <c r="AB7" s="18">
        <v>403010305.33999997</v>
      </c>
      <c r="AC7" s="18">
        <v>412291138.24000001</v>
      </c>
      <c r="AD7" s="18">
        <v>412884747.94999999</v>
      </c>
      <c r="AE7" s="18">
        <v>409768612.67000002</v>
      </c>
      <c r="AF7" s="18">
        <v>416266240.82999998</v>
      </c>
      <c r="AG7" s="18">
        <v>427127338.93000001</v>
      </c>
      <c r="AH7" s="18">
        <v>437688981.69</v>
      </c>
      <c r="AI7" s="18">
        <v>447819498.30000001</v>
      </c>
      <c r="AJ7" s="18">
        <v>457392735.58999997</v>
      </c>
      <c r="AK7" s="18">
        <v>466293570.44999999</v>
      </c>
      <c r="AL7" s="18">
        <v>474423286.27999997</v>
      </c>
      <c r="AM7" s="18">
        <v>482704213.49000001</v>
      </c>
      <c r="AN7" s="18">
        <v>491139363.86000001</v>
      </c>
      <c r="AO7" s="18">
        <v>499731814.08999997</v>
      </c>
      <c r="AP7" s="18">
        <v>508484706.27999997</v>
      </c>
      <c r="AQ7" s="18">
        <v>517401250.38</v>
      </c>
      <c r="AR7" s="18">
        <v>526484722.72000003</v>
      </c>
      <c r="AS7" s="18">
        <v>535738472.5</v>
      </c>
      <c r="AT7" s="18">
        <v>545165916.34000003</v>
      </c>
      <c r="AU7" s="18">
        <v>554770547.76999998</v>
      </c>
      <c r="AV7" s="18">
        <v>564555933.78999996</v>
      </c>
      <c r="AW7" s="18">
        <v>574525717.44000006</v>
      </c>
      <c r="AX7" s="18">
        <v>584683619.34000003</v>
      </c>
    </row>
    <row r="8" spans="1:50" s="26" customFormat="1" ht="15" customHeight="1" x14ac:dyDescent="0.15">
      <c r="A8" s="136" t="s">
        <v>51</v>
      </c>
      <c r="B8" s="137"/>
      <c r="C8" s="139" t="s">
        <v>121</v>
      </c>
      <c r="D8" s="138"/>
      <c r="E8" s="18"/>
      <c r="F8" s="18"/>
      <c r="G8" s="18"/>
      <c r="H8" s="18"/>
      <c r="I8" s="18"/>
      <c r="J8" s="18"/>
      <c r="K8" s="18">
        <f>4434597.83+(243171.69-150)+82744658.06+1326178.17+3525534.91</f>
        <v>92273990.659999996</v>
      </c>
      <c r="L8" s="18"/>
      <c r="M8" s="18">
        <f>4099502.97+(163824.01-150)+147870321.44+2168834.18+2765036.43</f>
        <v>157067369.03</v>
      </c>
      <c r="N8" s="18"/>
      <c r="O8" s="18">
        <f>172637673.23+6982917.27</f>
        <v>179620590.5</v>
      </c>
      <c r="P8" s="18"/>
      <c r="Q8" s="18">
        <f>11985605.02+178651414.79</f>
        <v>190637019.81</v>
      </c>
      <c r="R8" s="18">
        <v>194336765.84</v>
      </c>
      <c r="S8" s="18">
        <v>236724347.16</v>
      </c>
      <c r="T8" s="18">
        <f>3446426.99+(107091.45-156)+267366045.61+(2718204.69-97220)+8232109.41</f>
        <v>281772502.15000004</v>
      </c>
      <c r="U8" s="18">
        <v>282442691.94</v>
      </c>
      <c r="V8" s="18">
        <f>3567756.99+(2150557.65-1462110.4)+264352593.5+(2969314.85-72989)+5709174.36</f>
        <v>277214297.95000005</v>
      </c>
      <c r="W8" s="129">
        <v>278566452.17000002</v>
      </c>
      <c r="X8" s="129">
        <f>4639164.99+47501862.04+174808902.71+4043694.67+7311260-81428</f>
        <v>238223456.41</v>
      </c>
      <c r="Y8" s="161">
        <v>254629279.00999999</v>
      </c>
      <c r="Z8" s="18">
        <v>124588635.31999999</v>
      </c>
      <c r="AA8" s="18">
        <v>108060202.40000001</v>
      </c>
      <c r="AB8" s="18">
        <v>109090950.52</v>
      </c>
      <c r="AC8" s="18">
        <v>110255746.41</v>
      </c>
      <c r="AD8" s="18">
        <v>110587875.58</v>
      </c>
      <c r="AE8" s="18">
        <v>111666857.77</v>
      </c>
      <c r="AF8" s="18">
        <v>112828642.29000001</v>
      </c>
      <c r="AG8" s="18">
        <v>114005214.18000001</v>
      </c>
      <c r="AH8" s="18">
        <v>115196833.06</v>
      </c>
      <c r="AI8" s="18">
        <v>116403765.05</v>
      </c>
      <c r="AJ8" s="18">
        <v>117626283.04000001</v>
      </c>
      <c r="AK8" s="18">
        <v>118864666.84</v>
      </c>
      <c r="AL8" s="18">
        <v>120119203.45</v>
      </c>
      <c r="AM8" s="18">
        <v>121390187.23999999</v>
      </c>
      <c r="AN8" s="18">
        <v>122677920.23</v>
      </c>
      <c r="AO8" s="18">
        <v>123982712.29000001</v>
      </c>
      <c r="AP8" s="18">
        <v>125304881.44</v>
      </c>
      <c r="AQ8" s="18">
        <v>126644754.03</v>
      </c>
      <c r="AR8" s="18">
        <v>128002665.08</v>
      </c>
      <c r="AS8" s="18">
        <v>129378958.53</v>
      </c>
      <c r="AT8" s="18">
        <v>130773987.51000001</v>
      </c>
      <c r="AU8" s="18">
        <v>132188114.68000001</v>
      </c>
      <c r="AV8" s="18">
        <v>133621712.48</v>
      </c>
      <c r="AW8" s="18">
        <v>135075163.46000001</v>
      </c>
      <c r="AX8" s="18">
        <v>136548860.63999999</v>
      </c>
    </row>
    <row r="9" spans="1:50" s="6" customFormat="1" ht="15" customHeight="1" x14ac:dyDescent="0.15">
      <c r="A9" s="136" t="s">
        <v>52</v>
      </c>
      <c r="B9" s="137"/>
      <c r="C9" s="139" t="s">
        <v>122</v>
      </c>
      <c r="D9" s="138"/>
      <c r="E9" s="17"/>
      <c r="F9" s="17"/>
      <c r="G9" s="17"/>
      <c r="H9" s="18"/>
      <c r="I9" s="22"/>
      <c r="J9" s="18"/>
      <c r="K9" s="18"/>
      <c r="L9" s="18"/>
      <c r="M9" s="18"/>
      <c r="N9" s="18"/>
      <c r="O9" s="23"/>
      <c r="P9" s="23"/>
      <c r="Q9" s="24"/>
      <c r="R9" s="23"/>
      <c r="S9" s="25">
        <v>380559339.63999999</v>
      </c>
      <c r="T9" s="23"/>
      <c r="U9" s="101">
        <f t="shared" ref="U9:Y9" si="1">U4-U5-U6-U7-U8</f>
        <v>495098229.30000001</v>
      </c>
      <c r="V9" s="23">
        <f t="shared" si="1"/>
        <v>424664208.93000007</v>
      </c>
      <c r="W9" s="133">
        <f>W4-W5-W6-W7-W8</f>
        <v>443889159.6699999</v>
      </c>
      <c r="X9" s="23">
        <f t="shared" si="1"/>
        <v>465163357.32000005</v>
      </c>
      <c r="Y9" s="176">
        <f t="shared" si="1"/>
        <v>477822834.86999989</v>
      </c>
      <c r="Z9" s="23">
        <v>525920386.99999994</v>
      </c>
      <c r="AA9" s="23">
        <v>524112668.00000012</v>
      </c>
      <c r="AB9" s="23">
        <v>537028863.11000013</v>
      </c>
      <c r="AC9" s="23">
        <v>553053846.16999996</v>
      </c>
      <c r="AD9" s="23">
        <v>571064387.31000006</v>
      </c>
      <c r="AE9" s="23">
        <v>587430625.13000011</v>
      </c>
      <c r="AF9" s="23">
        <v>604744184.81000018</v>
      </c>
      <c r="AG9" s="23">
        <v>621290771.66999984</v>
      </c>
      <c r="AH9" s="23">
        <v>638426825.10000014</v>
      </c>
      <c r="AI9" s="23">
        <v>657143664.8499999</v>
      </c>
      <c r="AJ9" s="23">
        <v>674624518.71000028</v>
      </c>
      <c r="AK9" s="23">
        <v>693193046.67999995</v>
      </c>
      <c r="AL9" s="23">
        <v>713307223.11000013</v>
      </c>
      <c r="AM9" s="23">
        <v>732772255.36999989</v>
      </c>
      <c r="AN9" s="23">
        <v>752754757.39999998</v>
      </c>
      <c r="AO9" s="23">
        <v>774450609.89999986</v>
      </c>
      <c r="AP9" s="23">
        <v>795508612.97999978</v>
      </c>
      <c r="AQ9" s="23">
        <v>817155765.88999999</v>
      </c>
      <c r="AR9" s="23">
        <v>840312474.71999967</v>
      </c>
      <c r="AS9" s="23">
        <v>862870515.63999987</v>
      </c>
      <c r="AT9" s="23">
        <v>886059219.69999993</v>
      </c>
      <c r="AU9" s="23">
        <v>911138718.06000018</v>
      </c>
      <c r="AV9" s="23">
        <v>935642536.74000001</v>
      </c>
      <c r="AW9" s="23">
        <v>960831846.11999989</v>
      </c>
      <c r="AX9" s="23">
        <v>987999417.64999998</v>
      </c>
    </row>
    <row r="10" spans="1:50" s="6" customFormat="1" ht="15" customHeight="1" x14ac:dyDescent="0.15">
      <c r="A10" s="136" t="s">
        <v>53</v>
      </c>
      <c r="B10" s="205"/>
      <c r="C10" s="198"/>
      <c r="D10" s="138" t="s">
        <v>1</v>
      </c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18"/>
      <c r="S10" s="20">
        <v>176863342.06</v>
      </c>
      <c r="T10" s="18"/>
      <c r="U10" s="100">
        <v>190161686.12</v>
      </c>
      <c r="V10" s="18">
        <v>189000000</v>
      </c>
      <c r="W10" s="119">
        <v>196982743.66999999</v>
      </c>
      <c r="X10" s="18">
        <v>215500000</v>
      </c>
      <c r="Y10" s="161">
        <v>220853631.53</v>
      </c>
      <c r="Z10" s="23">
        <v>236900000</v>
      </c>
      <c r="AA10" s="18">
        <v>247376000</v>
      </c>
      <c r="AB10" s="18">
        <v>255797280</v>
      </c>
      <c r="AC10" s="18">
        <v>264471198.40000001</v>
      </c>
      <c r="AD10" s="18">
        <v>276599216.35000002</v>
      </c>
      <c r="AE10" s="18">
        <v>285897192.83999997</v>
      </c>
      <c r="AF10" s="18">
        <v>295474108.63</v>
      </c>
      <c r="AG10" s="18">
        <v>305338331.88999999</v>
      </c>
      <c r="AH10" s="18">
        <v>315498481.85000002</v>
      </c>
      <c r="AI10" s="18">
        <v>325963436.31</v>
      </c>
      <c r="AJ10" s="18">
        <v>336742339.39999998</v>
      </c>
      <c r="AK10" s="18">
        <v>347844609.57999998</v>
      </c>
      <c r="AL10" s="18">
        <v>359279947.87</v>
      </c>
      <c r="AM10" s="18">
        <v>371058346.30000001</v>
      </c>
      <c r="AN10" s="18">
        <v>383190096.69</v>
      </c>
      <c r="AO10" s="18">
        <v>395685799.58999997</v>
      </c>
      <c r="AP10" s="18">
        <v>408556373.57999998</v>
      </c>
      <c r="AQ10" s="18">
        <v>421813064.77999997</v>
      </c>
      <c r="AR10" s="18">
        <v>435467456.72000003</v>
      </c>
      <c r="AS10" s="18">
        <v>449531480.42000002</v>
      </c>
      <c r="AT10" s="18">
        <v>464017424.82999998</v>
      </c>
      <c r="AU10" s="18">
        <v>478937947.57999998</v>
      </c>
      <c r="AV10" s="18">
        <v>494306086.00999999</v>
      </c>
      <c r="AW10" s="18">
        <v>510135268.58999997</v>
      </c>
      <c r="AX10" s="18">
        <v>526439326.64999998</v>
      </c>
    </row>
    <row r="11" spans="1:50" s="134" customFormat="1" ht="15" customHeight="1" x14ac:dyDescent="0.15">
      <c r="A11" s="135" t="s">
        <v>54</v>
      </c>
      <c r="B11" s="140" t="s">
        <v>154</v>
      </c>
      <c r="C11" s="140"/>
      <c r="D11" s="140"/>
      <c r="E11" s="58">
        <v>66106368.119999997</v>
      </c>
      <c r="F11" s="58">
        <v>94376928.230000004</v>
      </c>
      <c r="G11" s="58">
        <v>251734541</v>
      </c>
      <c r="H11" s="58">
        <v>608377481</v>
      </c>
      <c r="I11" s="58">
        <v>449370968.36000001</v>
      </c>
      <c r="J11" s="58">
        <v>502189935.16000003</v>
      </c>
      <c r="K11" s="58">
        <v>540822199.17999995</v>
      </c>
      <c r="L11" s="58">
        <v>122350836.45</v>
      </c>
      <c r="M11" s="58">
        <v>75097918.290000007</v>
      </c>
      <c r="N11" s="58">
        <v>88308226.560000002</v>
      </c>
      <c r="O11" s="58">
        <v>102353584.48</v>
      </c>
      <c r="P11" s="58">
        <v>158248904.97</v>
      </c>
      <c r="Q11" s="58">
        <v>110677570.92</v>
      </c>
      <c r="R11" s="58">
        <v>122302528.83</v>
      </c>
      <c r="S11" s="58">
        <v>89414757.709999993</v>
      </c>
      <c r="T11" s="58">
        <v>203231894.91</v>
      </c>
      <c r="U11" s="58">
        <v>180372990.27000001</v>
      </c>
      <c r="V11" s="58">
        <v>151824035.61000001</v>
      </c>
      <c r="W11" s="58">
        <v>209238215.21000001</v>
      </c>
      <c r="X11" s="58">
        <v>261125932.97999999</v>
      </c>
      <c r="Y11" s="160">
        <v>183969374.47</v>
      </c>
      <c r="Z11" s="58">
        <v>182828743.36000001</v>
      </c>
      <c r="AA11" s="58">
        <v>158267135.13999999</v>
      </c>
      <c r="AB11" s="58">
        <v>104957581.67</v>
      </c>
      <c r="AC11" s="58">
        <v>115957581.67</v>
      </c>
      <c r="AD11" s="58">
        <v>83646000</v>
      </c>
      <c r="AE11" s="58">
        <v>77646000</v>
      </c>
      <c r="AF11" s="58">
        <v>72646000</v>
      </c>
      <c r="AG11" s="58">
        <v>67646000</v>
      </c>
      <c r="AH11" s="58">
        <v>62646000</v>
      </c>
      <c r="AI11" s="58">
        <v>57646000</v>
      </c>
      <c r="AJ11" s="58">
        <v>52646000</v>
      </c>
      <c r="AK11" s="58">
        <v>47646000</v>
      </c>
      <c r="AL11" s="58">
        <v>43646000</v>
      </c>
      <c r="AM11" s="58">
        <v>43646000</v>
      </c>
      <c r="AN11" s="58">
        <v>43646000</v>
      </c>
      <c r="AO11" s="58">
        <v>43646000</v>
      </c>
      <c r="AP11" s="58">
        <v>43646000</v>
      </c>
      <c r="AQ11" s="58">
        <v>43646000</v>
      </c>
      <c r="AR11" s="58">
        <v>43646000</v>
      </c>
      <c r="AS11" s="58">
        <v>43646000</v>
      </c>
      <c r="AT11" s="58">
        <v>43646000</v>
      </c>
      <c r="AU11" s="58">
        <v>43646000</v>
      </c>
      <c r="AV11" s="58">
        <v>43646000</v>
      </c>
      <c r="AW11" s="58">
        <v>43646000</v>
      </c>
      <c r="AX11" s="58">
        <v>43646000</v>
      </c>
    </row>
    <row r="12" spans="1:50" s="6" customFormat="1" ht="15" customHeight="1" x14ac:dyDescent="0.15">
      <c r="A12" s="136" t="s">
        <v>55</v>
      </c>
      <c r="B12" s="137"/>
      <c r="C12" s="139" t="s">
        <v>3</v>
      </c>
      <c r="D12" s="138"/>
      <c r="E12" s="18">
        <v>43189001</v>
      </c>
      <c r="F12" s="18">
        <v>36051703.520000003</v>
      </c>
      <c r="G12" s="18">
        <v>45585905.25</v>
      </c>
      <c r="H12" s="17">
        <v>79662320</v>
      </c>
      <c r="I12" s="18">
        <v>59498989.240000002</v>
      </c>
      <c r="J12" s="17">
        <v>104398100</v>
      </c>
      <c r="K12" s="17">
        <v>156149162.38</v>
      </c>
      <c r="L12" s="17">
        <v>80509500</v>
      </c>
      <c r="M12" s="18">
        <v>40970147.399999999</v>
      </c>
      <c r="N12" s="18">
        <v>41922114</v>
      </c>
      <c r="O12" s="18">
        <v>82596613.219999999</v>
      </c>
      <c r="P12" s="18">
        <v>34743979</v>
      </c>
      <c r="Q12" s="19">
        <v>54781558.539999999</v>
      </c>
      <c r="R12" s="18">
        <v>28749576</v>
      </c>
      <c r="S12" s="20">
        <v>31824478.41</v>
      </c>
      <c r="T12" s="18">
        <v>30803776</v>
      </c>
      <c r="U12" s="100">
        <v>45088492.729999997</v>
      </c>
      <c r="V12" s="18">
        <v>59122926</v>
      </c>
      <c r="W12" s="132">
        <v>83221009.920000002</v>
      </c>
      <c r="X12" s="129">
        <v>115784288</v>
      </c>
      <c r="Y12" s="161">
        <v>68517750.310000002</v>
      </c>
      <c r="Z12" s="18">
        <v>118957230</v>
      </c>
      <c r="AA12" s="18">
        <v>95618256</v>
      </c>
      <c r="AB12" s="18">
        <v>72146000</v>
      </c>
      <c r="AC12" s="18">
        <v>66146000</v>
      </c>
      <c r="AD12" s="18">
        <v>60146000</v>
      </c>
      <c r="AE12" s="18">
        <v>54146000</v>
      </c>
      <c r="AF12" s="18">
        <v>49146000</v>
      </c>
      <c r="AG12" s="18">
        <v>44146000</v>
      </c>
      <c r="AH12" s="18">
        <v>39146000</v>
      </c>
      <c r="AI12" s="18">
        <v>34146000</v>
      </c>
      <c r="AJ12" s="18">
        <v>29146000</v>
      </c>
      <c r="AK12" s="18">
        <v>24146000</v>
      </c>
      <c r="AL12" s="18">
        <v>20146000</v>
      </c>
      <c r="AM12" s="18">
        <v>20146000</v>
      </c>
      <c r="AN12" s="18">
        <v>20146000</v>
      </c>
      <c r="AO12" s="18">
        <v>20146000</v>
      </c>
      <c r="AP12" s="18">
        <v>20146000</v>
      </c>
      <c r="AQ12" s="18">
        <v>20146000</v>
      </c>
      <c r="AR12" s="18">
        <v>20146000</v>
      </c>
      <c r="AS12" s="18">
        <v>20146000</v>
      </c>
      <c r="AT12" s="18">
        <v>20146000</v>
      </c>
      <c r="AU12" s="18">
        <v>20146000</v>
      </c>
      <c r="AV12" s="18">
        <v>20146000</v>
      </c>
      <c r="AW12" s="18">
        <v>20146000</v>
      </c>
      <c r="AX12" s="18">
        <v>20146000</v>
      </c>
    </row>
    <row r="13" spans="1:50" s="6" customFormat="1" ht="15" customHeight="1" x14ac:dyDescent="0.15">
      <c r="A13" s="136" t="s">
        <v>56</v>
      </c>
      <c r="B13" s="137"/>
      <c r="C13" s="139" t="s">
        <v>4</v>
      </c>
      <c r="D13" s="138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8"/>
      <c r="S13" s="20">
        <v>55216827.350000001</v>
      </c>
      <c r="T13" s="18"/>
      <c r="U13" s="100">
        <v>129524828.76000001</v>
      </c>
      <c r="V13" s="18">
        <f>2455671+26678218.93+44917.18+74845.05+60947457.45</f>
        <v>90201109.609999999</v>
      </c>
      <c r="W13" s="132">
        <v>122060413.56999999</v>
      </c>
      <c r="X13" s="129">
        <f>3968586+70536147.85+2386.78+7660.12+66766864.23</f>
        <v>141281644.97999999</v>
      </c>
      <c r="Y13" s="161">
        <v>109838820.11</v>
      </c>
      <c r="Z13" s="18">
        <v>59871513.359999999</v>
      </c>
      <c r="AA13" s="18">
        <v>58648879.140000001</v>
      </c>
      <c r="AB13" s="18">
        <v>28811581.670000002</v>
      </c>
      <c r="AC13" s="18">
        <v>45811581.670000002</v>
      </c>
      <c r="AD13" s="18">
        <v>20000000</v>
      </c>
      <c r="AE13" s="18">
        <v>20000000</v>
      </c>
      <c r="AF13" s="18">
        <v>20000000</v>
      </c>
      <c r="AG13" s="18">
        <v>20000000</v>
      </c>
      <c r="AH13" s="18">
        <v>20000000</v>
      </c>
      <c r="AI13" s="18">
        <v>20000000</v>
      </c>
      <c r="AJ13" s="18">
        <v>20000000</v>
      </c>
      <c r="AK13" s="18">
        <v>20000000</v>
      </c>
      <c r="AL13" s="18">
        <v>20000000</v>
      </c>
      <c r="AM13" s="18">
        <v>20000000</v>
      </c>
      <c r="AN13" s="18">
        <v>20000000</v>
      </c>
      <c r="AO13" s="18">
        <v>20000000</v>
      </c>
      <c r="AP13" s="18">
        <v>20000000</v>
      </c>
      <c r="AQ13" s="18">
        <v>20000000</v>
      </c>
      <c r="AR13" s="18">
        <v>20000000</v>
      </c>
      <c r="AS13" s="18">
        <v>20000000</v>
      </c>
      <c r="AT13" s="18">
        <v>20000000</v>
      </c>
      <c r="AU13" s="18">
        <v>20000000</v>
      </c>
      <c r="AV13" s="18">
        <v>20000000</v>
      </c>
      <c r="AW13" s="18">
        <v>20000000</v>
      </c>
      <c r="AX13" s="18">
        <v>20000000</v>
      </c>
    </row>
    <row r="14" spans="1:50" s="16" customFormat="1" ht="15" customHeight="1" x14ac:dyDescent="0.15">
      <c r="A14" s="141" t="s">
        <v>123</v>
      </c>
      <c r="B14" s="142"/>
      <c r="C14" s="143"/>
      <c r="D14" s="144"/>
      <c r="E14" s="12">
        <f t="shared" ref="E14:Y14" si="2">E15+E23</f>
        <v>868185561.04000008</v>
      </c>
      <c r="F14" s="12">
        <f t="shared" si="2"/>
        <v>904794974.8599999</v>
      </c>
      <c r="G14" s="12">
        <f t="shared" si="2"/>
        <v>1118373855.1200001</v>
      </c>
      <c r="H14" s="12">
        <f t="shared" si="2"/>
        <v>1641854888.0999999</v>
      </c>
      <c r="I14" s="13">
        <f t="shared" si="2"/>
        <v>1356440268.5</v>
      </c>
      <c r="J14" s="12">
        <f t="shared" si="2"/>
        <v>1517705548.04</v>
      </c>
      <c r="K14" s="12">
        <f t="shared" si="2"/>
        <v>1361292740.3000002</v>
      </c>
      <c r="L14" s="12">
        <f t="shared" si="2"/>
        <v>1314105828.97</v>
      </c>
      <c r="M14" s="13">
        <f t="shared" si="2"/>
        <v>1111143945.0900002</v>
      </c>
      <c r="N14" s="13">
        <f t="shared" si="2"/>
        <v>1304757362.8699999</v>
      </c>
      <c r="O14" s="13">
        <f t="shared" si="2"/>
        <v>1112909738.49</v>
      </c>
      <c r="P14" s="13">
        <f t="shared" si="2"/>
        <v>1403599989.0999999</v>
      </c>
      <c r="Q14" s="14">
        <f t="shared" si="2"/>
        <v>1240313979.55</v>
      </c>
      <c r="R14" s="13">
        <f t="shared" si="2"/>
        <v>1450311329.3299999</v>
      </c>
      <c r="S14" s="15">
        <f t="shared" si="2"/>
        <v>1388979196.3899999</v>
      </c>
      <c r="T14" s="12">
        <f t="shared" si="2"/>
        <v>1710010402.76</v>
      </c>
      <c r="U14" s="98">
        <f t="shared" si="2"/>
        <v>1572648189.75</v>
      </c>
      <c r="V14" s="13">
        <f t="shared" si="2"/>
        <v>1810590960.6399999</v>
      </c>
      <c r="W14" s="117">
        <f>W15+W23</f>
        <v>1667175725.0800002</v>
      </c>
      <c r="X14" s="13">
        <f t="shared" si="2"/>
        <v>1841289859.6100001</v>
      </c>
      <c r="Y14" s="159">
        <f t="shared" si="2"/>
        <v>1694806792.9400001</v>
      </c>
      <c r="Z14" s="13">
        <v>1607095598.3</v>
      </c>
      <c r="AA14" s="13">
        <v>1660918959.9400001</v>
      </c>
      <c r="AB14" s="13">
        <v>1777058170.23</v>
      </c>
      <c r="AC14" s="13">
        <v>1557994918.8299999</v>
      </c>
      <c r="AD14" s="13">
        <v>1573488482.3199999</v>
      </c>
      <c r="AE14" s="13">
        <v>1615884612.6000001</v>
      </c>
      <c r="AF14" s="13">
        <v>1667535981.5599999</v>
      </c>
      <c r="AG14" s="13">
        <v>1732065936.9200001</v>
      </c>
      <c r="AH14" s="13">
        <v>1811202994.4400001</v>
      </c>
      <c r="AI14" s="13">
        <v>1874234267.6199999</v>
      </c>
      <c r="AJ14" s="13">
        <v>1941304064.02</v>
      </c>
      <c r="AK14" s="13">
        <v>1986064295.48</v>
      </c>
      <c r="AL14" s="13">
        <v>2050159890.4300001</v>
      </c>
      <c r="AM14" s="13">
        <v>2103985021.8899999</v>
      </c>
      <c r="AN14" s="13">
        <v>2152423174.3199997</v>
      </c>
      <c r="AO14" s="13">
        <v>2203217355.3200002</v>
      </c>
      <c r="AP14" s="13">
        <v>2264031533.1100001</v>
      </c>
      <c r="AQ14" s="13">
        <v>2316108243.9099998</v>
      </c>
      <c r="AR14" s="13">
        <v>2370383805.8600001</v>
      </c>
      <c r="AS14" s="13">
        <v>2424766296.4899998</v>
      </c>
      <c r="AT14" s="13">
        <v>2480501740.0100002</v>
      </c>
      <c r="AU14" s="13">
        <v>2538867370.27</v>
      </c>
      <c r="AV14" s="13">
        <v>2596325230.4099998</v>
      </c>
      <c r="AW14" s="13">
        <v>2656233433.5</v>
      </c>
      <c r="AX14" s="13">
        <v>2720012129.8600001</v>
      </c>
    </row>
    <row r="15" spans="1:50" s="62" customFormat="1" ht="15" customHeight="1" x14ac:dyDescent="0.15">
      <c r="A15" s="135" t="s">
        <v>57</v>
      </c>
      <c r="B15" s="145" t="s">
        <v>155</v>
      </c>
      <c r="C15" s="146"/>
      <c r="D15" s="147"/>
      <c r="E15" s="58">
        <v>644071360.82000005</v>
      </c>
      <c r="F15" s="58">
        <v>687812871.30999994</v>
      </c>
      <c r="G15" s="58">
        <v>699035946.20000005</v>
      </c>
      <c r="H15" s="59">
        <v>737110738.10000002</v>
      </c>
      <c r="I15" s="58">
        <v>719210528.70000005</v>
      </c>
      <c r="J15" s="59">
        <v>746006275.03999996</v>
      </c>
      <c r="K15" s="58">
        <v>738423041.57000005</v>
      </c>
      <c r="L15" s="58">
        <v>824172314.97000003</v>
      </c>
      <c r="M15" s="58">
        <v>817473633.20000005</v>
      </c>
      <c r="N15" s="58">
        <v>938014921.11000001</v>
      </c>
      <c r="O15" s="58">
        <v>876395917.15999997</v>
      </c>
      <c r="P15" s="58">
        <v>939601516.73000002</v>
      </c>
      <c r="Q15" s="60">
        <v>927744564.59000003</v>
      </c>
      <c r="R15" s="58">
        <v>1013702592.91</v>
      </c>
      <c r="S15" s="61">
        <v>1027707352.87</v>
      </c>
      <c r="T15" s="58">
        <v>1233972680.04</v>
      </c>
      <c r="U15" s="99">
        <v>1212227229.99</v>
      </c>
      <c r="V15" s="58">
        <v>1228495564.5</v>
      </c>
      <c r="W15" s="118">
        <v>1215749634.9100001</v>
      </c>
      <c r="X15" s="58">
        <v>1270961037.25</v>
      </c>
      <c r="Y15" s="160">
        <v>1258109130.72</v>
      </c>
      <c r="Z15" s="58">
        <v>1252055489.74</v>
      </c>
      <c r="AA15" s="58">
        <v>1300512635.3099999</v>
      </c>
      <c r="AB15" s="58">
        <v>1342512864.1600001</v>
      </c>
      <c r="AC15" s="58">
        <v>1385762379.8499999</v>
      </c>
      <c r="AD15" s="58">
        <v>1408198844.0799999</v>
      </c>
      <c r="AE15" s="58">
        <v>1444322144.3900001</v>
      </c>
      <c r="AF15" s="58">
        <v>1481535262.1099999</v>
      </c>
      <c r="AG15" s="58">
        <v>1519905852.8900001</v>
      </c>
      <c r="AH15" s="58">
        <v>1559569959.46</v>
      </c>
      <c r="AI15" s="58">
        <v>1601303487.8199999</v>
      </c>
      <c r="AJ15" s="58">
        <v>1644369526.3900001</v>
      </c>
      <c r="AK15" s="58">
        <v>1689544001.77</v>
      </c>
      <c r="AL15" s="58">
        <v>1736087325.9100001</v>
      </c>
      <c r="AM15" s="58">
        <v>1784646455.3499999</v>
      </c>
      <c r="AN15" s="58">
        <v>1834764503.1099999</v>
      </c>
      <c r="AO15" s="58">
        <v>1886466196.51</v>
      </c>
      <c r="AP15" s="58">
        <v>1939776752.96</v>
      </c>
      <c r="AQ15" s="58">
        <v>1995221591.6099999</v>
      </c>
      <c r="AR15" s="58">
        <v>2052361936.25</v>
      </c>
      <c r="AS15" s="58">
        <v>2111294553.55</v>
      </c>
      <c r="AT15" s="58">
        <v>2172062128.1900001</v>
      </c>
      <c r="AU15" s="58">
        <v>2234730106.77</v>
      </c>
      <c r="AV15" s="58">
        <v>2299338075.98</v>
      </c>
      <c r="AW15" s="58">
        <v>2365969256.6999998</v>
      </c>
      <c r="AX15" s="58">
        <v>2434681139.46</v>
      </c>
    </row>
    <row r="16" spans="1:50" s="6" customFormat="1" ht="15" customHeight="1" x14ac:dyDescent="0.15">
      <c r="A16" s="136" t="s">
        <v>58</v>
      </c>
      <c r="B16" s="137"/>
      <c r="C16" s="139" t="s">
        <v>16</v>
      </c>
      <c r="D16" s="138"/>
      <c r="E16" s="18"/>
      <c r="F16" s="18"/>
      <c r="G16" s="18"/>
      <c r="H16" s="17"/>
      <c r="I16" s="18"/>
      <c r="J16" s="17"/>
      <c r="K16" s="18"/>
      <c r="L16" s="18"/>
      <c r="M16" s="18"/>
      <c r="N16" s="18"/>
      <c r="O16" s="18"/>
      <c r="P16" s="18"/>
      <c r="Q16" s="19"/>
      <c r="R16" s="18"/>
      <c r="S16" s="20">
        <v>396986758.94999999</v>
      </c>
      <c r="T16" s="18"/>
      <c r="U16" s="100">
        <v>437427850.25999999</v>
      </c>
      <c r="V16" s="18">
        <v>491131171.63</v>
      </c>
      <c r="W16" s="119">
        <v>481859529.94999999</v>
      </c>
      <c r="X16" s="18">
        <v>516615734.43000001</v>
      </c>
      <c r="Y16" s="161">
        <v>510865274.56999999</v>
      </c>
      <c r="Z16" s="18">
        <v>572480670.72000003</v>
      </c>
      <c r="AA16" s="18">
        <v>597651383.27999997</v>
      </c>
      <c r="AB16" s="18">
        <v>620996644.53999996</v>
      </c>
      <c r="AC16" s="18">
        <v>641792296.78999996</v>
      </c>
      <c r="AD16" s="18">
        <v>663310050.98000002</v>
      </c>
      <c r="AE16" s="18">
        <v>685575251.75999999</v>
      </c>
      <c r="AF16" s="18">
        <v>708614136.09000003</v>
      </c>
      <c r="AG16" s="18">
        <v>732453864.64999998</v>
      </c>
      <c r="AH16" s="18">
        <v>757122554.44000006</v>
      </c>
      <c r="AI16" s="18">
        <v>782649312.46000004</v>
      </c>
      <c r="AJ16" s="18">
        <v>809064270.58000004</v>
      </c>
      <c r="AK16" s="18">
        <v>836398621.67999995</v>
      </c>
      <c r="AL16" s="18">
        <v>864684657.00999999</v>
      </c>
      <c r="AM16" s="18">
        <v>893955804.91999996</v>
      </c>
      <c r="AN16" s="18">
        <v>924246670.94000006</v>
      </c>
      <c r="AO16" s="18">
        <v>955593079.21000004</v>
      </c>
      <c r="AP16" s="18">
        <v>988032115.50999999</v>
      </c>
      <c r="AQ16" s="18">
        <v>1021602171.65</v>
      </c>
      <c r="AR16" s="18">
        <v>1056342991.51</v>
      </c>
      <c r="AS16" s="18">
        <v>1092295718.7</v>
      </c>
      <c r="AT16" s="18">
        <v>1129502945.8900001</v>
      </c>
      <c r="AU16" s="18">
        <v>1168008765.8699999</v>
      </c>
      <c r="AV16" s="18">
        <v>1207858824.4200001</v>
      </c>
      <c r="AW16" s="18">
        <v>1249100375.02</v>
      </c>
      <c r="AX16" s="18">
        <v>1291782335.55</v>
      </c>
    </row>
    <row r="17" spans="1:50" s="6" customFormat="1" ht="15" customHeight="1" x14ac:dyDescent="0.15">
      <c r="A17" s="136" t="s">
        <v>59</v>
      </c>
      <c r="B17" s="137"/>
      <c r="C17" s="139" t="s">
        <v>124</v>
      </c>
      <c r="D17" s="138"/>
      <c r="E17" s="17"/>
      <c r="F17" s="17"/>
      <c r="G17" s="18">
        <v>0</v>
      </c>
      <c r="H17" s="17"/>
      <c r="I17" s="18">
        <v>0</v>
      </c>
      <c r="J17" s="17">
        <v>0</v>
      </c>
      <c r="K17" s="17">
        <v>0</v>
      </c>
      <c r="L17" s="17"/>
      <c r="M17" s="18">
        <v>0</v>
      </c>
      <c r="N17" s="18"/>
      <c r="O17" s="18">
        <v>0</v>
      </c>
      <c r="P17" s="18">
        <v>0</v>
      </c>
      <c r="Q17" s="19">
        <v>0</v>
      </c>
      <c r="R17" s="18"/>
      <c r="S17" s="20">
        <v>0</v>
      </c>
      <c r="T17" s="18"/>
      <c r="U17" s="100">
        <v>0</v>
      </c>
      <c r="V17" s="18"/>
      <c r="W17" s="119">
        <v>0</v>
      </c>
      <c r="X17" s="18">
        <v>0</v>
      </c>
      <c r="Y17" s="161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</row>
    <row r="18" spans="1:50" s="6" customFormat="1" ht="23.25" customHeight="1" x14ac:dyDescent="0.15">
      <c r="A18" s="136" t="s">
        <v>60</v>
      </c>
      <c r="B18" s="205"/>
      <c r="C18" s="198"/>
      <c r="D18" s="173" t="s">
        <v>125</v>
      </c>
      <c r="E18" s="17"/>
      <c r="F18" s="17"/>
      <c r="G18" s="18">
        <v>0</v>
      </c>
      <c r="H18" s="17"/>
      <c r="I18" s="18"/>
      <c r="J18" s="17">
        <v>0</v>
      </c>
      <c r="K18" s="17"/>
      <c r="L18" s="17"/>
      <c r="M18" s="18">
        <v>0</v>
      </c>
      <c r="N18" s="18"/>
      <c r="O18" s="18">
        <v>0</v>
      </c>
      <c r="P18" s="18">
        <v>0</v>
      </c>
      <c r="Q18" s="19">
        <v>0</v>
      </c>
      <c r="R18" s="18"/>
      <c r="S18" s="20">
        <v>0</v>
      </c>
      <c r="T18" s="18"/>
      <c r="U18" s="100">
        <v>0</v>
      </c>
      <c r="V18" s="18"/>
      <c r="W18" s="119">
        <v>0</v>
      </c>
      <c r="X18" s="18">
        <v>0</v>
      </c>
      <c r="Y18" s="161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v>0</v>
      </c>
      <c r="AV18" s="18">
        <v>0</v>
      </c>
      <c r="AW18" s="18">
        <v>0</v>
      </c>
      <c r="AX18" s="18">
        <v>0</v>
      </c>
    </row>
    <row r="19" spans="1:50" s="6" customFormat="1" ht="15" customHeight="1" x14ac:dyDescent="0.15">
      <c r="A19" s="136" t="s">
        <v>61</v>
      </c>
      <c r="B19" s="137"/>
      <c r="C19" s="139" t="s">
        <v>126</v>
      </c>
      <c r="D19" s="138"/>
      <c r="E19" s="17"/>
      <c r="F19" s="17"/>
      <c r="G19" s="18">
        <v>2817352.73</v>
      </c>
      <c r="H19" s="17">
        <v>4049812</v>
      </c>
      <c r="I19" s="18">
        <v>3252800.3</v>
      </c>
      <c r="J19" s="17">
        <v>3667907</v>
      </c>
      <c r="K19" s="17">
        <v>3240587.51</v>
      </c>
      <c r="L19" s="17">
        <v>4565124</v>
      </c>
      <c r="M19" s="18">
        <v>4210520.01</v>
      </c>
      <c r="N19" s="18">
        <v>4756640</v>
      </c>
      <c r="O19" s="18">
        <v>4704860.8099999996</v>
      </c>
      <c r="P19" s="18">
        <v>9261482</v>
      </c>
      <c r="Q19" s="19">
        <v>9820000.9800000004</v>
      </c>
      <c r="R19" s="18">
        <v>8088212</v>
      </c>
      <c r="S19" s="20">
        <v>8085080.7000000002</v>
      </c>
      <c r="T19" s="18">
        <v>9317572</v>
      </c>
      <c r="U19" s="100">
        <v>9191305.0600000005</v>
      </c>
      <c r="V19" s="18">
        <v>9325003</v>
      </c>
      <c r="W19" s="119">
        <v>9293102.2300000004</v>
      </c>
      <c r="X19" s="18">
        <v>16518144</v>
      </c>
      <c r="Y19" s="161">
        <v>16714383.300000001</v>
      </c>
      <c r="Z19" s="18">
        <v>28101891</v>
      </c>
      <c r="AA19" s="18">
        <v>31248299.300000001</v>
      </c>
      <c r="AB19" s="18">
        <v>35709603.909999996</v>
      </c>
      <c r="AC19" s="18">
        <v>42906397.799999997</v>
      </c>
      <c r="AD19" s="18">
        <v>28738658.07</v>
      </c>
      <c r="AE19" s="18">
        <v>26002225.91</v>
      </c>
      <c r="AF19" s="18">
        <v>23133230.52</v>
      </c>
      <c r="AG19" s="18">
        <v>20174039.899999999</v>
      </c>
      <c r="AH19" s="18">
        <v>17226912.350000001</v>
      </c>
      <c r="AI19" s="18">
        <v>15043010.52</v>
      </c>
      <c r="AJ19" s="18">
        <v>12914919.15</v>
      </c>
      <c r="AK19" s="18">
        <v>11438816.09</v>
      </c>
      <c r="AL19" s="18">
        <v>9899989.2400000002</v>
      </c>
      <c r="AM19" s="18">
        <v>8766188.1699999999</v>
      </c>
      <c r="AN19" s="18">
        <v>7670525.5899999999</v>
      </c>
      <c r="AO19" s="18">
        <v>6589472.9500000002</v>
      </c>
      <c r="AP19" s="18">
        <v>5498420.3499999996</v>
      </c>
      <c r="AQ19" s="18">
        <v>4871335.91</v>
      </c>
      <c r="AR19" s="18">
        <v>4216315.08</v>
      </c>
      <c r="AS19" s="18">
        <v>3575262.44</v>
      </c>
      <c r="AT19" s="18">
        <v>2934209.8</v>
      </c>
      <c r="AU19" s="18">
        <v>2300100.21</v>
      </c>
      <c r="AV19" s="18">
        <v>1652104.53</v>
      </c>
      <c r="AW19" s="18">
        <v>1011051.9</v>
      </c>
      <c r="AX19" s="18">
        <v>369999.27</v>
      </c>
    </row>
    <row r="20" spans="1:50" s="6" customFormat="1" ht="69" customHeight="1" x14ac:dyDescent="0.15">
      <c r="A20" s="136" t="s">
        <v>62</v>
      </c>
      <c r="B20" s="205"/>
      <c r="C20" s="198"/>
      <c r="D20" s="155" t="s">
        <v>127</v>
      </c>
      <c r="E20" s="17"/>
      <c r="F20" s="17"/>
      <c r="G20" s="18"/>
      <c r="H20" s="17"/>
      <c r="I20" s="18"/>
      <c r="J20" s="18"/>
      <c r="K20" s="18"/>
      <c r="L20" s="18"/>
      <c r="M20" s="18"/>
      <c r="N20" s="18"/>
      <c r="O20" s="18"/>
      <c r="P20" s="18"/>
      <c r="Q20" s="19"/>
      <c r="R20" s="18"/>
      <c r="S20" s="20">
        <v>0</v>
      </c>
      <c r="T20" s="18"/>
      <c r="U20" s="100">
        <v>0</v>
      </c>
      <c r="V20" s="18"/>
      <c r="W20" s="119">
        <v>0</v>
      </c>
      <c r="X20" s="18">
        <v>0</v>
      </c>
      <c r="Y20" s="161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</row>
    <row r="21" spans="1:50" s="26" customFormat="1" ht="38.25" customHeight="1" x14ac:dyDescent="0.15">
      <c r="A21" s="136" t="s">
        <v>63</v>
      </c>
      <c r="B21" s="205"/>
      <c r="C21" s="198"/>
      <c r="D21" s="155" t="s">
        <v>128</v>
      </c>
      <c r="E21" s="18"/>
      <c r="F21" s="18"/>
      <c r="G21" s="18"/>
      <c r="H21" s="18"/>
      <c r="I21" s="18"/>
      <c r="J21" s="18">
        <v>0</v>
      </c>
      <c r="K21" s="18"/>
      <c r="L21" s="18"/>
      <c r="M21" s="18">
        <v>0</v>
      </c>
      <c r="N21" s="18"/>
      <c r="O21" s="18">
        <v>0</v>
      </c>
      <c r="P21" s="18">
        <v>0</v>
      </c>
      <c r="Q21" s="19">
        <v>0</v>
      </c>
      <c r="R21" s="18"/>
      <c r="S21" s="20">
        <v>0</v>
      </c>
      <c r="T21" s="18"/>
      <c r="U21" s="100">
        <v>0</v>
      </c>
      <c r="V21" s="18"/>
      <c r="W21" s="119">
        <v>0</v>
      </c>
      <c r="X21" s="18">
        <v>0</v>
      </c>
      <c r="Y21" s="161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</row>
    <row r="22" spans="1:50" s="26" customFormat="1" ht="34.5" customHeight="1" x14ac:dyDescent="0.15">
      <c r="A22" s="136" t="s">
        <v>166</v>
      </c>
      <c r="B22" s="205"/>
      <c r="C22" s="198"/>
      <c r="D22" s="155" t="s">
        <v>167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18"/>
      <c r="S22" s="20"/>
      <c r="T22" s="18"/>
      <c r="U22" s="100">
        <v>0</v>
      </c>
      <c r="V22" s="18"/>
      <c r="W22" s="119">
        <v>0</v>
      </c>
      <c r="X22" s="18">
        <v>0</v>
      </c>
      <c r="Y22" s="161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</row>
    <row r="23" spans="1:50" s="62" customFormat="1" ht="15" customHeight="1" x14ac:dyDescent="0.15">
      <c r="A23" s="135" t="s">
        <v>64</v>
      </c>
      <c r="B23" s="145" t="s">
        <v>156</v>
      </c>
      <c r="C23" s="146"/>
      <c r="D23" s="147"/>
      <c r="E23" s="59">
        <v>224114200.22</v>
      </c>
      <c r="F23" s="58">
        <v>216982103.55000001</v>
      </c>
      <c r="G23" s="58">
        <v>419337908.92000002</v>
      </c>
      <c r="H23" s="59">
        <v>904744150</v>
      </c>
      <c r="I23" s="58">
        <v>637229739.79999995</v>
      </c>
      <c r="J23" s="59">
        <v>771699273</v>
      </c>
      <c r="K23" s="59">
        <v>622869698.73000002</v>
      </c>
      <c r="L23" s="59">
        <v>489933514</v>
      </c>
      <c r="M23" s="58">
        <v>293670311.88999999</v>
      </c>
      <c r="N23" s="58">
        <v>366742441.75999999</v>
      </c>
      <c r="O23" s="58">
        <v>236513821.33000001</v>
      </c>
      <c r="P23" s="58">
        <v>463998472.37</v>
      </c>
      <c r="Q23" s="60">
        <v>312569414.95999998</v>
      </c>
      <c r="R23" s="58">
        <v>436608736.42000002</v>
      </c>
      <c r="S23" s="61">
        <v>361271843.51999998</v>
      </c>
      <c r="T23" s="58">
        <v>476037722.72000003</v>
      </c>
      <c r="U23" s="99">
        <v>360420959.75999999</v>
      </c>
      <c r="V23" s="58">
        <v>582095396.13999999</v>
      </c>
      <c r="W23" s="118">
        <v>451426090.17000002</v>
      </c>
      <c r="X23" s="58">
        <v>570328822.36000001</v>
      </c>
      <c r="Y23" s="160">
        <v>436697662.22000003</v>
      </c>
      <c r="Z23" s="58">
        <v>355040108.56</v>
      </c>
      <c r="AA23" s="58">
        <v>360406324.63</v>
      </c>
      <c r="AB23" s="58">
        <v>434545306.06999999</v>
      </c>
      <c r="AC23" s="58">
        <v>172232538.97999999</v>
      </c>
      <c r="AD23" s="58">
        <v>165289638.24000001</v>
      </c>
      <c r="AE23" s="58">
        <v>171562468.21000001</v>
      </c>
      <c r="AF23" s="58">
        <v>186000719.44999999</v>
      </c>
      <c r="AG23" s="58">
        <v>212160084.03</v>
      </c>
      <c r="AH23" s="58">
        <v>251633034.97999999</v>
      </c>
      <c r="AI23" s="58">
        <v>272930779.80000001</v>
      </c>
      <c r="AJ23" s="58">
        <v>296934537.63</v>
      </c>
      <c r="AK23" s="58">
        <v>296520293.70999998</v>
      </c>
      <c r="AL23" s="58">
        <v>314072564.51999998</v>
      </c>
      <c r="AM23" s="58">
        <v>319338566.54000002</v>
      </c>
      <c r="AN23" s="58">
        <v>317658671.20999998</v>
      </c>
      <c r="AO23" s="58">
        <v>316751158.81</v>
      </c>
      <c r="AP23" s="58">
        <v>324254780.14999998</v>
      </c>
      <c r="AQ23" s="58">
        <v>320886652.30000001</v>
      </c>
      <c r="AR23" s="58">
        <v>318021869.61000001</v>
      </c>
      <c r="AS23" s="58">
        <v>313471742.94</v>
      </c>
      <c r="AT23" s="58">
        <v>308439611.81999999</v>
      </c>
      <c r="AU23" s="58">
        <v>304137263.5</v>
      </c>
      <c r="AV23" s="58">
        <v>296987154.43000001</v>
      </c>
      <c r="AW23" s="58">
        <v>290264176.80000001</v>
      </c>
      <c r="AX23" s="58">
        <v>285330990.39999998</v>
      </c>
    </row>
    <row r="24" spans="1:50" s="6" customFormat="1" ht="24" customHeight="1" x14ac:dyDescent="0.15">
      <c r="A24" s="136" t="s">
        <v>65</v>
      </c>
      <c r="B24" s="175"/>
      <c r="C24" s="185" t="s">
        <v>17</v>
      </c>
      <c r="D24" s="186"/>
      <c r="E24" s="17"/>
      <c r="F24" s="17"/>
      <c r="G24" s="18"/>
      <c r="H24" s="17"/>
      <c r="I24" s="18"/>
      <c r="J24" s="17"/>
      <c r="K24" s="17"/>
      <c r="L24" s="17"/>
      <c r="M24" s="18"/>
      <c r="N24" s="18"/>
      <c r="O24" s="18"/>
      <c r="P24" s="18"/>
      <c r="Q24" s="19"/>
      <c r="R24" s="18"/>
      <c r="S24" s="20"/>
      <c r="T24" s="18"/>
      <c r="U24" s="100"/>
      <c r="V24" s="18">
        <f>V23-89340132</f>
        <v>492755264.13999999</v>
      </c>
      <c r="W24" s="132">
        <f>W23-83515250</f>
        <v>367910840.17000002</v>
      </c>
      <c r="X24" s="129">
        <f>X23-60503350</f>
        <v>509825472.36000001</v>
      </c>
      <c r="Y24" s="161">
        <f>Y23-59000000</f>
        <v>377697662.22000003</v>
      </c>
      <c r="Z24" s="18">
        <v>316017253.56</v>
      </c>
      <c r="AA24" s="18">
        <v>336006324.63</v>
      </c>
      <c r="AB24" s="18">
        <v>401642220.06999999</v>
      </c>
      <c r="AC24" s="18">
        <v>172232538.97999999</v>
      </c>
      <c r="AD24" s="18">
        <v>165289638.24000001</v>
      </c>
      <c r="AE24" s="18">
        <v>171562468.21000001</v>
      </c>
      <c r="AF24" s="18">
        <v>186000719.44999999</v>
      </c>
      <c r="AG24" s="18">
        <v>212160084.03</v>
      </c>
      <c r="AH24" s="18">
        <v>251633034.97999999</v>
      </c>
      <c r="AI24" s="18">
        <v>272930779.80000001</v>
      </c>
      <c r="AJ24" s="18">
        <v>296934537.63</v>
      </c>
      <c r="AK24" s="18">
        <v>296520293.70999998</v>
      </c>
      <c r="AL24" s="18">
        <v>314072564.51999998</v>
      </c>
      <c r="AM24" s="18">
        <v>319338566.54000002</v>
      </c>
      <c r="AN24" s="18">
        <v>317658671.20999998</v>
      </c>
      <c r="AO24" s="18">
        <v>316751158.81</v>
      </c>
      <c r="AP24" s="18">
        <v>324254780.14999998</v>
      </c>
      <c r="AQ24" s="18">
        <v>320886652.30000001</v>
      </c>
      <c r="AR24" s="18">
        <v>318021869.61000001</v>
      </c>
      <c r="AS24" s="18">
        <v>313471742.94</v>
      </c>
      <c r="AT24" s="18">
        <v>308439611.81999999</v>
      </c>
      <c r="AU24" s="18">
        <v>304137263.5</v>
      </c>
      <c r="AV24" s="18">
        <v>296987154.43000001</v>
      </c>
      <c r="AW24" s="18">
        <v>290264176.80000001</v>
      </c>
      <c r="AX24" s="18">
        <v>285330990.39999998</v>
      </c>
    </row>
    <row r="25" spans="1:50" s="6" customFormat="1" ht="23.25" customHeight="1" x14ac:dyDescent="0.15">
      <c r="A25" s="136" t="s">
        <v>66</v>
      </c>
      <c r="B25" s="175"/>
      <c r="C25" s="174"/>
      <c r="D25" s="173" t="s">
        <v>18</v>
      </c>
      <c r="E25" s="17"/>
      <c r="F25" s="17"/>
      <c r="G25" s="18"/>
      <c r="H25" s="17"/>
      <c r="I25" s="18"/>
      <c r="J25" s="17"/>
      <c r="K25" s="17"/>
      <c r="L25" s="17"/>
      <c r="M25" s="18"/>
      <c r="N25" s="18"/>
      <c r="O25" s="18"/>
      <c r="P25" s="18"/>
      <c r="Q25" s="19"/>
      <c r="R25" s="18"/>
      <c r="S25" s="20"/>
      <c r="T25" s="18"/>
      <c r="U25" s="100"/>
      <c r="V25" s="18">
        <v>12511847</v>
      </c>
      <c r="W25" s="132">
        <v>8110978.4100000001</v>
      </c>
      <c r="X25" s="129">
        <v>12565530</v>
      </c>
      <c r="Y25" s="161">
        <f>324000+9803389.31</f>
        <v>10127389.310000001</v>
      </c>
      <c r="Z25" s="18">
        <v>4382618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</row>
    <row r="26" spans="1:50" s="16" customFormat="1" ht="15" customHeight="1" x14ac:dyDescent="0.15">
      <c r="A26" s="202" t="s">
        <v>129</v>
      </c>
      <c r="B26" s="203"/>
      <c r="C26" s="203"/>
      <c r="D26" s="204"/>
      <c r="E26" s="12">
        <f t="shared" ref="E26:Y26" si="3">E3-E14</f>
        <v>-72030205.720000029</v>
      </c>
      <c r="F26" s="12">
        <f t="shared" si="3"/>
        <v>-34213892.579999924</v>
      </c>
      <c r="G26" s="12">
        <f t="shared" si="3"/>
        <v>-69233767.26000011</v>
      </c>
      <c r="H26" s="12">
        <f t="shared" si="3"/>
        <v>-190914551</v>
      </c>
      <c r="I26" s="13">
        <f t="shared" si="3"/>
        <v>-43364436.199999809</v>
      </c>
      <c r="J26" s="12">
        <f t="shared" si="3"/>
        <v>-132255579.83999991</v>
      </c>
      <c r="K26" s="12">
        <f t="shared" si="3"/>
        <v>54170432.569999695</v>
      </c>
      <c r="L26" s="12">
        <f t="shared" si="3"/>
        <v>-233106497.04999995</v>
      </c>
      <c r="M26" s="13">
        <f t="shared" si="3"/>
        <v>-55157848.370000243</v>
      </c>
      <c r="N26" s="13">
        <f t="shared" si="3"/>
        <v>-139175550.72000003</v>
      </c>
      <c r="O26" s="13">
        <f t="shared" si="3"/>
        <v>29603835.440000057</v>
      </c>
      <c r="P26" s="13">
        <f t="shared" si="3"/>
        <v>-170463279.21999979</v>
      </c>
      <c r="Q26" s="14">
        <f t="shared" si="3"/>
        <v>-27325602.789999962</v>
      </c>
      <c r="R26" s="13">
        <f t="shared" si="3"/>
        <v>-171178300.44000006</v>
      </c>
      <c r="S26" s="15">
        <f t="shared" si="3"/>
        <v>-84544484.71999979</v>
      </c>
      <c r="T26" s="12">
        <f t="shared" si="3"/>
        <v>-211882534.93999982</v>
      </c>
      <c r="U26" s="98">
        <f t="shared" si="3"/>
        <v>12583961.720000029</v>
      </c>
      <c r="V26" s="13">
        <f t="shared" si="3"/>
        <v>-329163566.14999962</v>
      </c>
      <c r="W26" s="117">
        <f t="shared" si="3"/>
        <v>-24462688.080000162</v>
      </c>
      <c r="X26" s="12">
        <f t="shared" si="3"/>
        <v>-248422784.9000001</v>
      </c>
      <c r="Y26" s="159">
        <f t="shared" si="3"/>
        <v>-106574833.11000013</v>
      </c>
      <c r="Z26" s="13">
        <v>-109918576.62000012</v>
      </c>
      <c r="AA26" s="12">
        <v>-117761044.84000015</v>
      </c>
      <c r="AB26" s="12">
        <v>-226367988.00999999</v>
      </c>
      <c r="AC26" s="12">
        <v>63837425.930000067</v>
      </c>
      <c r="AD26" s="12">
        <v>71369743.920000076</v>
      </c>
      <c r="AE26" s="12">
        <v>76176743.809999943</v>
      </c>
      <c r="AF26" s="12">
        <v>84891733.160000086</v>
      </c>
      <c r="AG26" s="12">
        <v>84891733.159999847</v>
      </c>
      <c r="AH26" s="12">
        <v>67791733.159999847</v>
      </c>
      <c r="AI26" s="12">
        <v>64191733.160000086</v>
      </c>
      <c r="AJ26" s="12">
        <v>50072134.160000086</v>
      </c>
      <c r="AK26" s="12">
        <v>53137682.450000048</v>
      </c>
      <c r="AL26" s="12">
        <v>32370633.710000038</v>
      </c>
      <c r="AM26" s="12">
        <v>25838315.800000191</v>
      </c>
      <c r="AN26" s="12">
        <v>25838315.800000191</v>
      </c>
      <c r="AO26" s="12">
        <v>25838315.799999714</v>
      </c>
      <c r="AP26" s="12">
        <v>15838315.799999714</v>
      </c>
      <c r="AQ26" s="12">
        <v>15838315.800000191</v>
      </c>
      <c r="AR26" s="12">
        <v>15838315.799999714</v>
      </c>
      <c r="AS26" s="12">
        <v>15838315.800000191</v>
      </c>
      <c r="AT26" s="12">
        <v>15838315.799999714</v>
      </c>
      <c r="AU26" s="12">
        <v>15838315.800000191</v>
      </c>
      <c r="AV26" s="12">
        <v>16927315.800000191</v>
      </c>
      <c r="AW26" s="12">
        <v>17026315.800000191</v>
      </c>
      <c r="AX26" s="12">
        <v>16026315.599999905</v>
      </c>
    </row>
    <row r="27" spans="1:50" s="6" customFormat="1" ht="25.5" customHeight="1" x14ac:dyDescent="0.15">
      <c r="A27" s="136" t="s">
        <v>67</v>
      </c>
      <c r="B27" s="189" t="s">
        <v>130</v>
      </c>
      <c r="C27" s="190"/>
      <c r="D27" s="191"/>
      <c r="E27" s="17"/>
      <c r="F27" s="17"/>
      <c r="G27" s="18"/>
      <c r="H27" s="17"/>
      <c r="I27" s="18"/>
      <c r="J27" s="17"/>
      <c r="K27" s="17"/>
      <c r="L27" s="17"/>
      <c r="M27" s="18"/>
      <c r="N27" s="18"/>
      <c r="O27" s="18"/>
      <c r="P27" s="18"/>
      <c r="Q27" s="19"/>
      <c r="R27" s="18"/>
      <c r="S27" s="20"/>
      <c r="T27" s="18"/>
      <c r="U27" s="102">
        <f>IF(U26&gt;=0,U26,"0,00")</f>
        <v>12583961.720000029</v>
      </c>
      <c r="V27" s="112" t="str">
        <f>IF(V26&gt;=0,V26,"0,00")</f>
        <v>0,00</v>
      </c>
      <c r="W27" s="120" t="str">
        <f t="shared" ref="W27:Y27" si="4">IF(W26&gt;=0,W26,"0,00")</f>
        <v>0,00</v>
      </c>
      <c r="X27" s="112">
        <v>0</v>
      </c>
      <c r="Y27" s="162" t="str">
        <f t="shared" si="4"/>
        <v>0,00</v>
      </c>
      <c r="Z27" s="27" t="s">
        <v>178</v>
      </c>
      <c r="AA27" s="27" t="s">
        <v>178</v>
      </c>
      <c r="AB27" s="27" t="s">
        <v>178</v>
      </c>
      <c r="AC27" s="27">
        <v>63837425.930000067</v>
      </c>
      <c r="AD27" s="27">
        <v>71369743.920000076</v>
      </c>
      <c r="AE27" s="27">
        <v>76176743.809999943</v>
      </c>
      <c r="AF27" s="27">
        <v>84891733.160000086</v>
      </c>
      <c r="AG27" s="27">
        <v>84891733.159999847</v>
      </c>
      <c r="AH27" s="27">
        <v>67791733.159999847</v>
      </c>
      <c r="AI27" s="27">
        <v>64191733.160000086</v>
      </c>
      <c r="AJ27" s="27">
        <v>50072134.160000086</v>
      </c>
      <c r="AK27" s="27">
        <v>53137682.450000048</v>
      </c>
      <c r="AL27" s="27">
        <v>32370633.710000038</v>
      </c>
      <c r="AM27" s="27">
        <v>25838315.800000191</v>
      </c>
      <c r="AN27" s="27">
        <v>25838315.800000191</v>
      </c>
      <c r="AO27" s="27">
        <v>25838315.799999714</v>
      </c>
      <c r="AP27" s="27">
        <v>15838315.799999714</v>
      </c>
      <c r="AQ27" s="27">
        <v>15838315.800000191</v>
      </c>
      <c r="AR27" s="27">
        <v>15838315.799999714</v>
      </c>
      <c r="AS27" s="27">
        <v>15838315.800000191</v>
      </c>
      <c r="AT27" s="27">
        <v>15838315.799999714</v>
      </c>
      <c r="AU27" s="27">
        <v>15838315.800000191</v>
      </c>
      <c r="AV27" s="27">
        <v>16927315.800000191</v>
      </c>
      <c r="AW27" s="27">
        <v>17026315.800000191</v>
      </c>
      <c r="AX27" s="27">
        <v>16026315.599999905</v>
      </c>
    </row>
    <row r="28" spans="1:50" s="16" customFormat="1" ht="15" customHeight="1" x14ac:dyDescent="0.15">
      <c r="A28" s="202" t="s">
        <v>131</v>
      </c>
      <c r="B28" s="203"/>
      <c r="C28" s="203"/>
      <c r="D28" s="204"/>
      <c r="E28" s="12">
        <f t="shared" ref="E28:Q28" si="5">E31+E33+E29+E37</f>
        <v>130904403.33</v>
      </c>
      <c r="F28" s="12">
        <f t="shared" si="5"/>
        <v>110802867.61</v>
      </c>
      <c r="G28" s="12">
        <f t="shared" si="5"/>
        <v>142135027.25</v>
      </c>
      <c r="H28" s="12">
        <f t="shared" si="5"/>
        <v>191645413.31999999</v>
      </c>
      <c r="I28" s="13">
        <f t="shared" si="5"/>
        <v>93781160.709999993</v>
      </c>
      <c r="J28" s="12">
        <f t="shared" si="5"/>
        <v>133125998.89</v>
      </c>
      <c r="K28" s="12">
        <f t="shared" si="5"/>
        <v>86065979.189999998</v>
      </c>
      <c r="L28" s="12">
        <f t="shared" si="5"/>
        <v>240635902.68000001</v>
      </c>
      <c r="M28" s="13">
        <f t="shared" si="5"/>
        <v>141402861.71000001</v>
      </c>
      <c r="N28" s="13">
        <f t="shared" si="5"/>
        <v>162526823.24000001</v>
      </c>
      <c r="O28" s="13">
        <f t="shared" si="5"/>
        <v>80565509.709999993</v>
      </c>
      <c r="P28" s="13">
        <f t="shared" si="5"/>
        <v>210474292.90000001</v>
      </c>
      <c r="Q28" s="14">
        <f t="shared" si="5"/>
        <v>162410955.68000001</v>
      </c>
      <c r="R28" s="13">
        <f>R31+R33+R29+R37</f>
        <v>197072216.69999999</v>
      </c>
      <c r="S28" s="15">
        <f>S31+S33+S29+S37</f>
        <v>170240765.53999999</v>
      </c>
      <c r="T28" s="12">
        <f>T31+T33+T29+T37+T35</f>
        <v>239120800.34</v>
      </c>
      <c r="U28" s="98">
        <f>U31+U33+U29+U37+U35</f>
        <v>234802364.56</v>
      </c>
      <c r="V28" s="13">
        <f>V31+V33+V29+V37+V35</f>
        <v>362111284.85000002</v>
      </c>
      <c r="W28" s="117">
        <f t="shared" ref="W28:Y28" si="6">W31+W33+W29+W37+W35</f>
        <v>220148060.88</v>
      </c>
      <c r="X28" s="12">
        <f t="shared" si="6"/>
        <v>297301780.06</v>
      </c>
      <c r="Y28" s="159">
        <f t="shared" si="6"/>
        <v>182737654.09999999</v>
      </c>
      <c r="Z28" s="12">
        <v>158068758.19999999</v>
      </c>
      <c r="AA28" s="12">
        <v>166181905.62</v>
      </c>
      <c r="AB28" s="12">
        <v>278887815.80000001</v>
      </c>
      <c r="AC28" s="12">
        <v>500000</v>
      </c>
      <c r="AD28" s="12">
        <v>500000</v>
      </c>
      <c r="AE28" s="12">
        <v>1193000</v>
      </c>
      <c r="AF28" s="12">
        <v>1688000</v>
      </c>
      <c r="AG28" s="12">
        <v>1688000</v>
      </c>
      <c r="AH28" s="12">
        <v>1688000</v>
      </c>
      <c r="AI28" s="12">
        <v>1688000</v>
      </c>
      <c r="AJ28" s="12">
        <v>1521334</v>
      </c>
      <c r="AK28" s="12">
        <v>1188000</v>
      </c>
      <c r="AL28" s="12">
        <v>1188000</v>
      </c>
      <c r="AM28" s="12">
        <v>1188000</v>
      </c>
      <c r="AN28" s="12">
        <v>1188000</v>
      </c>
      <c r="AO28" s="12">
        <v>1188000</v>
      </c>
      <c r="AP28" s="12">
        <v>1188000</v>
      </c>
      <c r="AQ28" s="12">
        <v>1188000</v>
      </c>
      <c r="AR28" s="12">
        <v>1188000</v>
      </c>
      <c r="AS28" s="12">
        <v>1188000</v>
      </c>
      <c r="AT28" s="12">
        <v>1188000</v>
      </c>
      <c r="AU28" s="12">
        <v>1188000</v>
      </c>
      <c r="AV28" s="12">
        <v>99000</v>
      </c>
      <c r="AW28" s="12">
        <v>0</v>
      </c>
      <c r="AX28" s="12">
        <v>0</v>
      </c>
    </row>
    <row r="29" spans="1:50" s="62" customFormat="1" ht="15" customHeight="1" x14ac:dyDescent="0.15">
      <c r="A29" s="135" t="s">
        <v>68</v>
      </c>
      <c r="B29" s="145" t="s">
        <v>157</v>
      </c>
      <c r="C29" s="146"/>
      <c r="D29" s="147"/>
      <c r="E29" s="59">
        <f>69000000+40000000+948614</f>
        <v>109948614</v>
      </c>
      <c r="F29" s="59">
        <f>54000000+697164</f>
        <v>54697164</v>
      </c>
      <c r="G29" s="58">
        <v>108000000</v>
      </c>
      <c r="H29" s="59">
        <f>46000000+27000000+2271982+44859376.61</f>
        <v>120131358.61</v>
      </c>
      <c r="I29" s="58">
        <v>2267106</v>
      </c>
      <c r="J29" s="59">
        <f>57000000+967078+46740019.7</f>
        <v>104707097.7</v>
      </c>
      <c r="K29" s="59">
        <v>57967078</v>
      </c>
      <c r="L29" s="59">
        <f>74500000+38170713.49+1899210</f>
        <v>114569923.49000001</v>
      </c>
      <c r="M29" s="58">
        <f>2382609-367882</f>
        <v>2014727</v>
      </c>
      <c r="N29" s="58">
        <f>74500000+21676921.24+1849902</f>
        <v>98026823.239999995</v>
      </c>
      <c r="O29" s="58">
        <v>1849902</v>
      </c>
      <c r="P29" s="58">
        <f>74500000+1295409+74678883.9</f>
        <v>150474292.90000001</v>
      </c>
      <c r="Q29" s="60">
        <f>74500000+1092883.05</f>
        <v>75592883.049999997</v>
      </c>
      <c r="R29" s="58">
        <f>75000000+166426.33+51905790.37</f>
        <v>127072216.69999999</v>
      </c>
      <c r="S29" s="61">
        <f>75000000+166426.33</f>
        <v>75166426.329999998</v>
      </c>
      <c r="T29" s="59">
        <f>25000000+150000000+4318435.78</f>
        <v>179318435.78</v>
      </c>
      <c r="U29" s="99">
        <f>25000000+150000000</f>
        <v>175000000</v>
      </c>
      <c r="V29" s="58">
        <f>97873714.44+50000000</f>
        <v>147873714.44</v>
      </c>
      <c r="W29" s="118">
        <v>0</v>
      </c>
      <c r="X29" s="58">
        <f>100000000+64582706.3</f>
        <v>164582706.30000001</v>
      </c>
      <c r="Y29" s="160">
        <f>20000000</f>
        <v>20000000</v>
      </c>
      <c r="Z29" s="58">
        <v>140626968.72</v>
      </c>
      <c r="AA29" s="58">
        <v>165681905.62</v>
      </c>
      <c r="AB29" s="58">
        <v>278387815.80000001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0</v>
      </c>
      <c r="AX29" s="58">
        <v>0</v>
      </c>
    </row>
    <row r="30" spans="1:50" s="6" customFormat="1" ht="15" customHeight="1" x14ac:dyDescent="0.15">
      <c r="A30" s="136" t="s">
        <v>69</v>
      </c>
      <c r="B30" s="137"/>
      <c r="C30" s="139" t="s">
        <v>132</v>
      </c>
      <c r="D30" s="138"/>
      <c r="E30" s="17">
        <f>52894296.39+948614</f>
        <v>53842910.390000001</v>
      </c>
      <c r="F30" s="17">
        <f>-F26+F39-F34</f>
        <v>20562136.749999925</v>
      </c>
      <c r="G30" s="18">
        <f>-G26+G39-G34</f>
        <v>36485945.290000111</v>
      </c>
      <c r="H30" s="17">
        <f>46000000+27000000+2271982+44859376.61</f>
        <v>120131358.61</v>
      </c>
      <c r="I30" s="18">
        <v>2267106</v>
      </c>
      <c r="J30" s="18">
        <f>57000000+967078+46740019.7</f>
        <v>104707097.7</v>
      </c>
      <c r="K30" s="18"/>
      <c r="L30" s="18">
        <v>114569923.48999999</v>
      </c>
      <c r="M30" s="18">
        <f>2382609-367882</f>
        <v>2014727</v>
      </c>
      <c r="N30" s="18">
        <f>74500000+21676921.24+1849902-N39</f>
        <v>74675550.719999999</v>
      </c>
      <c r="O30" s="18">
        <v>0</v>
      </c>
      <c r="P30" s="18">
        <f>P29-P39</f>
        <v>110463279.22</v>
      </c>
      <c r="Q30" s="19">
        <v>1092883.05</v>
      </c>
      <c r="R30" s="18">
        <f>R29-R39</f>
        <v>101178300.43999998</v>
      </c>
      <c r="S30" s="20">
        <f>-S26-S34</f>
        <v>15364061.769999802</v>
      </c>
      <c r="T30" s="18">
        <f>25000000+150000000</f>
        <v>175000000</v>
      </c>
      <c r="U30" s="100">
        <v>0</v>
      </c>
      <c r="V30" s="18">
        <f>-V26-V32-V34</f>
        <v>114925995.73999962</v>
      </c>
      <c r="W30" s="119">
        <v>0</v>
      </c>
      <c r="X30" s="18">
        <f>-X26-X32-X34</f>
        <v>115703711.1400001</v>
      </c>
      <c r="Y30" s="161">
        <v>0</v>
      </c>
      <c r="Z30" s="18">
        <v>92476787.14000012</v>
      </c>
      <c r="AA30" s="18">
        <v>117761044.84000015</v>
      </c>
      <c r="AB30" s="18">
        <v>226367988.00999999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</row>
    <row r="31" spans="1:50" s="62" customFormat="1" ht="15" customHeight="1" x14ac:dyDescent="0.15">
      <c r="A31" s="135" t="s">
        <v>70</v>
      </c>
      <c r="B31" s="145" t="s">
        <v>158</v>
      </c>
      <c r="C31" s="146"/>
      <c r="D31" s="147"/>
      <c r="E31" s="59">
        <v>20425789.329999998</v>
      </c>
      <c r="F31" s="59"/>
      <c r="G31" s="58">
        <v>0</v>
      </c>
      <c r="H31" s="59">
        <v>0</v>
      </c>
      <c r="I31" s="58">
        <v>0</v>
      </c>
      <c r="J31" s="59">
        <v>0</v>
      </c>
      <c r="K31" s="59">
        <v>0</v>
      </c>
      <c r="L31" s="59">
        <v>40000000</v>
      </c>
      <c r="M31" s="58">
        <v>53322155.520000003</v>
      </c>
      <c r="N31" s="58"/>
      <c r="O31" s="58">
        <v>0</v>
      </c>
      <c r="P31" s="58">
        <v>0</v>
      </c>
      <c r="Q31" s="60">
        <v>6252562.9199999999</v>
      </c>
      <c r="R31" s="58"/>
      <c r="S31" s="61">
        <v>0</v>
      </c>
      <c r="T31" s="92">
        <v>551203.65</v>
      </c>
      <c r="U31" s="99">
        <v>551203.65</v>
      </c>
      <c r="V31" s="58">
        <f>296563.23+6376908.02</f>
        <v>6673471.25</v>
      </c>
      <c r="W31" s="118">
        <f>6673471.25+5910490.47</f>
        <v>12583961.719999999</v>
      </c>
      <c r="X31" s="58">
        <v>2719073.76</v>
      </c>
      <c r="Y31" s="160">
        <f>2440013.62+279060.14</f>
        <v>2719073.7600000002</v>
      </c>
      <c r="Z31" s="58">
        <v>2064960.31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58">
        <v>0</v>
      </c>
      <c r="AW31" s="58">
        <v>0</v>
      </c>
      <c r="AX31" s="58">
        <v>0</v>
      </c>
    </row>
    <row r="32" spans="1:50" s="6" customFormat="1" ht="15" customHeight="1" x14ac:dyDescent="0.15">
      <c r="A32" s="136" t="s">
        <v>71</v>
      </c>
      <c r="B32" s="137"/>
      <c r="C32" s="139" t="s">
        <v>132</v>
      </c>
      <c r="D32" s="138"/>
      <c r="E32" s="17">
        <v>18187295.329999998</v>
      </c>
      <c r="F32" s="17"/>
      <c r="G32" s="18">
        <v>0</v>
      </c>
      <c r="H32" s="17"/>
      <c r="I32" s="18"/>
      <c r="J32" s="17">
        <v>0</v>
      </c>
      <c r="K32" s="17">
        <v>0</v>
      </c>
      <c r="L32" s="17">
        <v>32470594.370000001</v>
      </c>
      <c r="M32" s="18">
        <f>53322155.52-M40</f>
        <v>45792749.890000001</v>
      </c>
      <c r="N32" s="18"/>
      <c r="O32" s="18">
        <v>0</v>
      </c>
      <c r="P32" s="18">
        <v>0</v>
      </c>
      <c r="Q32" s="19">
        <v>0</v>
      </c>
      <c r="R32" s="18"/>
      <c r="S32" s="20">
        <v>0</v>
      </c>
      <c r="T32" s="18">
        <f>551203.65</f>
        <v>551203.65</v>
      </c>
      <c r="U32" s="100">
        <v>0</v>
      </c>
      <c r="V32" s="18">
        <v>6673471.25</v>
      </c>
      <c r="W32" s="119">
        <f>W31</f>
        <v>12583961.719999999</v>
      </c>
      <c r="X32" s="18">
        <f>X31</f>
        <v>2719073.76</v>
      </c>
      <c r="Y32" s="161">
        <v>2719072.09</v>
      </c>
      <c r="Z32" s="18">
        <v>2064960.31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18">
        <v>0</v>
      </c>
    </row>
    <row r="33" spans="1:50" s="62" customFormat="1" ht="15" customHeight="1" x14ac:dyDescent="0.15">
      <c r="A33" s="135" t="s">
        <v>72</v>
      </c>
      <c r="B33" s="145" t="s">
        <v>159</v>
      </c>
      <c r="C33" s="146"/>
      <c r="D33" s="147"/>
      <c r="E33" s="59"/>
      <c r="F33" s="59">
        <v>56105703.609999999</v>
      </c>
      <c r="G33" s="58">
        <v>34135027.25</v>
      </c>
      <c r="H33" s="59">
        <v>71514054.709999993</v>
      </c>
      <c r="I33" s="58">
        <f>71514054.71</f>
        <v>71514054.709999993</v>
      </c>
      <c r="J33" s="59">
        <v>28098901.190000001</v>
      </c>
      <c r="K33" s="59">
        <v>28098901.190000001</v>
      </c>
      <c r="L33" s="59">
        <v>86065979.189999998</v>
      </c>
      <c r="M33" s="58">
        <v>86065979.189999998</v>
      </c>
      <c r="N33" s="58">
        <v>64500000</v>
      </c>
      <c r="O33" s="58">
        <v>78715607.709999993</v>
      </c>
      <c r="P33" s="58">
        <v>60000000</v>
      </c>
      <c r="Q33" s="60">
        <v>80565509.709999993</v>
      </c>
      <c r="R33" s="58">
        <v>70000000</v>
      </c>
      <c r="S33" s="61">
        <v>95074339.209999993</v>
      </c>
      <c r="T33" s="58">
        <f>59251160.91</f>
        <v>59251160.909999996</v>
      </c>
      <c r="U33" s="99">
        <v>59251160.909999996</v>
      </c>
      <c r="V33" s="58">
        <v>207564099.16</v>
      </c>
      <c r="W33" s="118">
        <v>207564099.16</v>
      </c>
      <c r="X33" s="58">
        <v>130000000</v>
      </c>
      <c r="Y33" s="160">
        <v>160018580.34</v>
      </c>
      <c r="Z33" s="58">
        <v>15093304.41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58">
        <v>0</v>
      </c>
      <c r="AW33" s="58">
        <v>0</v>
      </c>
      <c r="AX33" s="58">
        <v>0</v>
      </c>
    </row>
    <row r="34" spans="1:50" s="6" customFormat="1" ht="15" customHeight="1" x14ac:dyDescent="0.15">
      <c r="A34" s="136" t="s">
        <v>73</v>
      </c>
      <c r="B34" s="137"/>
      <c r="C34" s="139" t="s">
        <v>132</v>
      </c>
      <c r="D34" s="138"/>
      <c r="E34" s="17"/>
      <c r="F34" s="17">
        <v>56105703.609999999</v>
      </c>
      <c r="G34" s="18">
        <v>34135027.25</v>
      </c>
      <c r="H34" s="17">
        <v>71514054.709999993</v>
      </c>
      <c r="I34" s="18">
        <f>-I26-I30</f>
        <v>41097330.199999809</v>
      </c>
      <c r="J34" s="17">
        <v>28098901.190000001</v>
      </c>
      <c r="K34" s="17"/>
      <c r="L34" s="17">
        <v>86065979.189999998</v>
      </c>
      <c r="M34" s="18">
        <f>-M26-M32-M30</f>
        <v>7350371.4800002426</v>
      </c>
      <c r="N34" s="18">
        <v>64500000</v>
      </c>
      <c r="O34" s="18">
        <v>0</v>
      </c>
      <c r="P34" s="18">
        <v>60000000</v>
      </c>
      <c r="Q34" s="19">
        <f>-(Q26+1092883.05)</f>
        <v>26232719.739999961</v>
      </c>
      <c r="R34" s="18">
        <f>-(R26+R30)</f>
        <v>70000000.000000075</v>
      </c>
      <c r="S34" s="20">
        <f>S33-S40</f>
        <v>69180422.949999988</v>
      </c>
      <c r="T34" s="91">
        <f>-T26-T30-T32</f>
        <v>36331331.28999982</v>
      </c>
      <c r="U34" s="100">
        <v>0</v>
      </c>
      <c r="V34" s="18">
        <v>207564099.16</v>
      </c>
      <c r="W34" s="119">
        <f>-W26-W32</f>
        <v>11878726.360000163</v>
      </c>
      <c r="X34" s="18">
        <v>130000000</v>
      </c>
      <c r="Y34" s="161">
        <f>-Y26-Y32-Y30</f>
        <v>103855761.02000013</v>
      </c>
      <c r="Z34" s="18">
        <v>15093304.41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</row>
    <row r="35" spans="1:50" s="62" customFormat="1" ht="15" customHeight="1" x14ac:dyDescent="0.15">
      <c r="A35" s="135" t="s">
        <v>74</v>
      </c>
      <c r="B35" s="145" t="s">
        <v>160</v>
      </c>
      <c r="C35" s="146"/>
      <c r="D35" s="147"/>
      <c r="E35" s="59">
        <v>530000</v>
      </c>
      <c r="F35" s="59"/>
      <c r="G35" s="58">
        <v>0</v>
      </c>
      <c r="H35" s="59"/>
      <c r="I35" s="58">
        <f>20000000</f>
        <v>20000000</v>
      </c>
      <c r="J35" s="59">
        <v>320000</v>
      </c>
      <c r="K35" s="59">
        <v>0</v>
      </c>
      <c r="L35" s="59">
        <v>0</v>
      </c>
      <c r="M35" s="58">
        <v>0</v>
      </c>
      <c r="N35" s="58"/>
      <c r="O35" s="58">
        <v>0</v>
      </c>
      <c r="P35" s="58">
        <v>0</v>
      </c>
      <c r="Q35" s="60">
        <v>0</v>
      </c>
      <c r="R35" s="58"/>
      <c r="S35" s="61">
        <v>0</v>
      </c>
      <c r="T35" s="58"/>
      <c r="U35" s="99">
        <v>0</v>
      </c>
      <c r="V35" s="58"/>
      <c r="W35" s="118">
        <v>0</v>
      </c>
      <c r="X35" s="58"/>
      <c r="Y35" s="160">
        <v>0</v>
      </c>
      <c r="Z35" s="58">
        <v>283524.76</v>
      </c>
      <c r="AA35" s="58">
        <v>500000</v>
      </c>
      <c r="AB35" s="58">
        <v>500000</v>
      </c>
      <c r="AC35" s="58">
        <v>500000</v>
      </c>
      <c r="AD35" s="58">
        <v>500000</v>
      </c>
      <c r="AE35" s="58">
        <v>1193000</v>
      </c>
      <c r="AF35" s="58">
        <v>1688000</v>
      </c>
      <c r="AG35" s="58">
        <v>1688000</v>
      </c>
      <c r="AH35" s="58">
        <v>1688000</v>
      </c>
      <c r="AI35" s="58">
        <v>1688000</v>
      </c>
      <c r="AJ35" s="58">
        <v>1521334</v>
      </c>
      <c r="AK35" s="58">
        <v>1188000</v>
      </c>
      <c r="AL35" s="58">
        <v>1188000</v>
      </c>
      <c r="AM35" s="58">
        <v>1188000</v>
      </c>
      <c r="AN35" s="58">
        <v>1188000</v>
      </c>
      <c r="AO35" s="58">
        <v>1188000</v>
      </c>
      <c r="AP35" s="58">
        <v>1188000</v>
      </c>
      <c r="AQ35" s="58">
        <v>1188000</v>
      </c>
      <c r="AR35" s="58">
        <v>1188000</v>
      </c>
      <c r="AS35" s="58">
        <v>1188000</v>
      </c>
      <c r="AT35" s="58">
        <v>1188000</v>
      </c>
      <c r="AU35" s="58">
        <v>1188000</v>
      </c>
      <c r="AV35" s="58">
        <v>99000</v>
      </c>
      <c r="AW35" s="58">
        <v>0</v>
      </c>
      <c r="AX35" s="58">
        <v>0</v>
      </c>
    </row>
    <row r="36" spans="1:50" s="6" customFormat="1" ht="15" customHeight="1" x14ac:dyDescent="0.15">
      <c r="A36" s="136" t="s">
        <v>75</v>
      </c>
      <c r="B36" s="137"/>
      <c r="C36" s="139" t="s">
        <v>132</v>
      </c>
      <c r="D36" s="138"/>
      <c r="E36" s="17"/>
      <c r="F36" s="17"/>
      <c r="G36" s="18">
        <v>0</v>
      </c>
      <c r="H36" s="17"/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>
        <v>0</v>
      </c>
      <c r="P36" s="18">
        <v>0</v>
      </c>
      <c r="Q36" s="19">
        <v>0</v>
      </c>
      <c r="R36" s="18"/>
      <c r="S36" s="20">
        <v>0</v>
      </c>
      <c r="T36" s="18"/>
      <c r="U36" s="100">
        <v>0</v>
      </c>
      <c r="V36" s="18"/>
      <c r="W36" s="119">
        <v>0</v>
      </c>
      <c r="X36" s="18"/>
      <c r="Y36" s="161">
        <v>0</v>
      </c>
      <c r="Z36" s="18">
        <v>283524.76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v>0</v>
      </c>
      <c r="AV36" s="18">
        <v>0</v>
      </c>
      <c r="AW36" s="18">
        <v>0</v>
      </c>
      <c r="AX36" s="18">
        <v>0</v>
      </c>
    </row>
    <row r="37" spans="1:50" s="62" customFormat="1" ht="15" customHeight="1" x14ac:dyDescent="0.15">
      <c r="A37" s="135" t="s">
        <v>76</v>
      </c>
      <c r="B37" s="145" t="s">
        <v>161</v>
      </c>
      <c r="C37" s="146"/>
      <c r="D37" s="147"/>
      <c r="E37" s="59">
        <v>530000</v>
      </c>
      <c r="F37" s="59"/>
      <c r="G37" s="58">
        <v>0</v>
      </c>
      <c r="H37" s="59"/>
      <c r="I37" s="58">
        <f>20000000</f>
        <v>20000000</v>
      </c>
      <c r="J37" s="59">
        <v>320000</v>
      </c>
      <c r="K37" s="59">
        <v>0</v>
      </c>
      <c r="L37" s="59">
        <v>0</v>
      </c>
      <c r="M37" s="58">
        <v>0</v>
      </c>
      <c r="N37" s="58"/>
      <c r="O37" s="58">
        <v>0</v>
      </c>
      <c r="P37" s="58">
        <v>0</v>
      </c>
      <c r="Q37" s="60">
        <v>0</v>
      </c>
      <c r="R37" s="58"/>
      <c r="S37" s="61">
        <v>0</v>
      </c>
      <c r="T37" s="58"/>
      <c r="U37" s="99">
        <v>0</v>
      </c>
      <c r="V37" s="58"/>
      <c r="W37" s="118">
        <v>0</v>
      </c>
      <c r="X37" s="58"/>
      <c r="Y37" s="160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58">
        <v>0</v>
      </c>
      <c r="AW37" s="58">
        <v>0</v>
      </c>
      <c r="AX37" s="58">
        <v>0</v>
      </c>
    </row>
    <row r="38" spans="1:50" s="6" customFormat="1" ht="15" customHeight="1" x14ac:dyDescent="0.15">
      <c r="A38" s="136" t="s">
        <v>77</v>
      </c>
      <c r="B38" s="137"/>
      <c r="C38" s="139" t="s">
        <v>132</v>
      </c>
      <c r="D38" s="138"/>
      <c r="E38" s="17"/>
      <c r="F38" s="17"/>
      <c r="G38" s="18">
        <v>0</v>
      </c>
      <c r="H38" s="17"/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>
        <v>0</v>
      </c>
      <c r="P38" s="18">
        <v>0</v>
      </c>
      <c r="Q38" s="19">
        <v>0</v>
      </c>
      <c r="R38" s="18"/>
      <c r="S38" s="20">
        <v>0</v>
      </c>
      <c r="T38" s="18"/>
      <c r="U38" s="100">
        <v>0</v>
      </c>
      <c r="V38" s="18"/>
      <c r="W38" s="119">
        <v>0</v>
      </c>
      <c r="X38" s="18"/>
      <c r="Y38" s="161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</row>
    <row r="39" spans="1:50" s="16" customFormat="1" ht="15" customHeight="1" x14ac:dyDescent="0.15">
      <c r="A39" s="202" t="s">
        <v>133</v>
      </c>
      <c r="B39" s="203"/>
      <c r="C39" s="203"/>
      <c r="D39" s="204"/>
      <c r="E39" s="12">
        <f t="shared" ref="E39:Y39" si="7">E40+E49</f>
        <v>2768494</v>
      </c>
      <c r="F39" s="12">
        <f t="shared" si="7"/>
        <v>42453947.780000001</v>
      </c>
      <c r="G39" s="12">
        <f t="shared" si="7"/>
        <v>1387205.28</v>
      </c>
      <c r="H39" s="12">
        <f t="shared" si="7"/>
        <v>730862.32</v>
      </c>
      <c r="I39" s="13">
        <f t="shared" si="7"/>
        <v>22317823.32</v>
      </c>
      <c r="J39" s="12">
        <f t="shared" si="7"/>
        <v>870419.05</v>
      </c>
      <c r="K39" s="12">
        <f t="shared" si="7"/>
        <v>848277.05</v>
      </c>
      <c r="L39" s="12">
        <f t="shared" si="7"/>
        <v>7529405.6299999999</v>
      </c>
      <c r="M39" s="13">
        <f t="shared" si="7"/>
        <v>7529405.6299999999</v>
      </c>
      <c r="N39" s="13">
        <f t="shared" si="7"/>
        <v>23351272.52</v>
      </c>
      <c r="O39" s="13">
        <f t="shared" si="7"/>
        <v>23351272.52</v>
      </c>
      <c r="P39" s="13">
        <f t="shared" si="7"/>
        <v>40011013.68</v>
      </c>
      <c r="Q39" s="14">
        <f t="shared" si="7"/>
        <v>40011013.68</v>
      </c>
      <c r="R39" s="13">
        <f t="shared" si="7"/>
        <v>25893916.260000002</v>
      </c>
      <c r="S39" s="15">
        <f t="shared" si="7"/>
        <v>25893916.260000002</v>
      </c>
      <c r="T39" s="12">
        <f t="shared" si="7"/>
        <v>27238265.399999999</v>
      </c>
      <c r="U39" s="98">
        <f t="shared" si="7"/>
        <v>27238265.399999999</v>
      </c>
      <c r="V39" s="13">
        <f t="shared" si="7"/>
        <v>32947718.699999999</v>
      </c>
      <c r="W39" s="117">
        <f t="shared" si="7"/>
        <v>32947718.699999999</v>
      </c>
      <c r="X39" s="13">
        <f t="shared" si="7"/>
        <v>48878995.159999996</v>
      </c>
      <c r="Y39" s="159">
        <f t="shared" si="7"/>
        <v>48844853.919999994</v>
      </c>
      <c r="Z39" s="13">
        <v>48150181.579999998</v>
      </c>
      <c r="AA39" s="13">
        <v>48420860.780000001</v>
      </c>
      <c r="AB39" s="13">
        <v>52519827.789999999</v>
      </c>
      <c r="AC39" s="13">
        <v>64337425.93</v>
      </c>
      <c r="AD39" s="13">
        <v>71869743.920000002</v>
      </c>
      <c r="AE39" s="13">
        <v>77369743.810000002</v>
      </c>
      <c r="AF39" s="13">
        <v>86579733.159999996</v>
      </c>
      <c r="AG39" s="13">
        <v>86579733.159999996</v>
      </c>
      <c r="AH39" s="13">
        <v>69479733.159999996</v>
      </c>
      <c r="AI39" s="13">
        <v>65879733.159999996</v>
      </c>
      <c r="AJ39" s="13">
        <v>51593468.159999996</v>
      </c>
      <c r="AK39" s="13">
        <v>54325682.450000003</v>
      </c>
      <c r="AL39" s="13">
        <v>33558633.710000001</v>
      </c>
      <c r="AM39" s="13">
        <v>27026315.800000001</v>
      </c>
      <c r="AN39" s="13">
        <v>27026315.800000001</v>
      </c>
      <c r="AO39" s="13">
        <v>27026315.800000001</v>
      </c>
      <c r="AP39" s="13">
        <v>17026315.800000001</v>
      </c>
      <c r="AQ39" s="13">
        <v>17026315.800000001</v>
      </c>
      <c r="AR39" s="13">
        <v>17026315.800000001</v>
      </c>
      <c r="AS39" s="13">
        <v>17026315.800000001</v>
      </c>
      <c r="AT39" s="13">
        <v>17026315.800000001</v>
      </c>
      <c r="AU39" s="13">
        <v>17026315.800000001</v>
      </c>
      <c r="AV39" s="13">
        <v>17026315.800000001</v>
      </c>
      <c r="AW39" s="13">
        <v>17026315.800000001</v>
      </c>
      <c r="AX39" s="13">
        <v>16026315.6</v>
      </c>
    </row>
    <row r="40" spans="1:50" s="62" customFormat="1" ht="26.25" customHeight="1" x14ac:dyDescent="0.2">
      <c r="A40" s="135" t="s">
        <v>78</v>
      </c>
      <c r="B40" s="206" t="s">
        <v>162</v>
      </c>
      <c r="C40" s="207"/>
      <c r="D40" s="208"/>
      <c r="E40" s="59">
        <v>2238494</v>
      </c>
      <c r="F40" s="59">
        <f>40000000+2453947.78</f>
        <v>42453947.780000001</v>
      </c>
      <c r="G40" s="58">
        <v>1387205.28</v>
      </c>
      <c r="H40" s="59">
        <v>730862.32</v>
      </c>
      <c r="I40" s="58">
        <v>717823.32</v>
      </c>
      <c r="J40" s="59">
        <v>870419.05</v>
      </c>
      <c r="K40" s="59">
        <v>848277.05</v>
      </c>
      <c r="L40" s="59">
        <v>7529405.6299999999</v>
      </c>
      <c r="M40" s="58">
        <v>7529405.6299999999</v>
      </c>
      <c r="N40" s="58">
        <f>17016326.52+1334946</f>
        <v>18351272.52</v>
      </c>
      <c r="O40" s="58">
        <v>18351272.52</v>
      </c>
      <c r="P40" s="58">
        <v>20211013.68</v>
      </c>
      <c r="Q40" s="60">
        <v>20211013.68</v>
      </c>
      <c r="R40" s="58">
        <v>25893916.260000002</v>
      </c>
      <c r="S40" s="61">
        <v>25893916.260000002</v>
      </c>
      <c r="T40" s="59">
        <v>27238265.399999999</v>
      </c>
      <c r="U40" s="99">
        <v>27238265.399999999</v>
      </c>
      <c r="V40" s="58">
        <v>32947718.699999999</v>
      </c>
      <c r="W40" s="118">
        <v>32947718.699999999</v>
      </c>
      <c r="X40" s="59">
        <v>48727995.159999996</v>
      </c>
      <c r="Y40" s="160">
        <v>48727995.159999996</v>
      </c>
      <c r="Z40" s="59">
        <v>48150181.579999998</v>
      </c>
      <c r="AA40" s="59">
        <v>48420860.780000001</v>
      </c>
      <c r="AB40" s="59">
        <v>52519827.789999999</v>
      </c>
      <c r="AC40" s="59">
        <v>64337425.93</v>
      </c>
      <c r="AD40" s="59">
        <v>71869743.920000002</v>
      </c>
      <c r="AE40" s="59">
        <v>77369743.810000002</v>
      </c>
      <c r="AF40" s="59">
        <v>86579733.159999996</v>
      </c>
      <c r="AG40" s="59">
        <v>86579733.159999996</v>
      </c>
      <c r="AH40" s="59">
        <v>69479733.159999996</v>
      </c>
      <c r="AI40" s="59">
        <v>65879733.159999996</v>
      </c>
      <c r="AJ40" s="59">
        <v>51593468.159999996</v>
      </c>
      <c r="AK40" s="59">
        <v>54325682.450000003</v>
      </c>
      <c r="AL40" s="59">
        <v>33558633.710000001</v>
      </c>
      <c r="AM40" s="59">
        <v>27026315.800000001</v>
      </c>
      <c r="AN40" s="59">
        <v>27026315.800000001</v>
      </c>
      <c r="AO40" s="59">
        <v>27026315.800000001</v>
      </c>
      <c r="AP40" s="59">
        <v>17026315.800000001</v>
      </c>
      <c r="AQ40" s="59">
        <v>17026315.800000001</v>
      </c>
      <c r="AR40" s="59">
        <v>17026315.800000001</v>
      </c>
      <c r="AS40" s="59">
        <v>17026315.800000001</v>
      </c>
      <c r="AT40" s="59">
        <v>17026315.800000001</v>
      </c>
      <c r="AU40" s="59">
        <v>17026315.800000001</v>
      </c>
      <c r="AV40" s="59">
        <v>17026315.800000001</v>
      </c>
      <c r="AW40" s="59">
        <v>17026315.800000001</v>
      </c>
      <c r="AX40" s="59">
        <v>16026315.6</v>
      </c>
    </row>
    <row r="41" spans="1:50" s="6" customFormat="1" ht="25.5" customHeight="1" x14ac:dyDescent="0.15">
      <c r="A41" s="136" t="s">
        <v>79</v>
      </c>
      <c r="B41" s="137"/>
      <c r="C41" s="182" t="s">
        <v>134</v>
      </c>
      <c r="D41" s="183"/>
      <c r="E41" s="17"/>
      <c r="F41" s="17"/>
      <c r="G41" s="17"/>
      <c r="H41" s="17">
        <v>0</v>
      </c>
      <c r="I41" s="18">
        <v>0</v>
      </c>
      <c r="J41" s="17">
        <v>0</v>
      </c>
      <c r="K41" s="17"/>
      <c r="L41" s="17"/>
      <c r="M41" s="18">
        <v>0</v>
      </c>
      <c r="N41" s="18"/>
      <c r="O41" s="18">
        <v>0</v>
      </c>
      <c r="P41" s="18">
        <v>0</v>
      </c>
      <c r="Q41" s="19">
        <v>0</v>
      </c>
      <c r="R41" s="18"/>
      <c r="S41" s="20">
        <v>0</v>
      </c>
      <c r="T41" s="18"/>
      <c r="U41" s="100">
        <v>0</v>
      </c>
      <c r="V41" s="18">
        <v>0</v>
      </c>
      <c r="W41" s="119">
        <v>0</v>
      </c>
      <c r="X41" s="18">
        <v>0</v>
      </c>
      <c r="Y41" s="161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s="17">
        <v>0</v>
      </c>
    </row>
    <row r="42" spans="1:50" s="6" customFormat="1" ht="24" customHeight="1" x14ac:dyDescent="0.15">
      <c r="A42" s="136" t="s">
        <v>80</v>
      </c>
      <c r="B42" s="205"/>
      <c r="C42" s="198"/>
      <c r="D42" s="173" t="s">
        <v>135</v>
      </c>
      <c r="E42" s="17"/>
      <c r="F42" s="17"/>
      <c r="G42" s="17"/>
      <c r="H42" s="17"/>
      <c r="I42" s="18"/>
      <c r="J42" s="17">
        <v>0</v>
      </c>
      <c r="K42" s="17"/>
      <c r="L42" s="17"/>
      <c r="M42" s="18">
        <v>0</v>
      </c>
      <c r="N42" s="18"/>
      <c r="O42" s="18">
        <v>0</v>
      </c>
      <c r="P42" s="18">
        <v>0</v>
      </c>
      <c r="Q42" s="19"/>
      <c r="R42" s="18"/>
      <c r="S42" s="20">
        <v>0</v>
      </c>
      <c r="T42" s="18"/>
      <c r="U42" s="100">
        <v>0</v>
      </c>
      <c r="V42" s="18">
        <v>0</v>
      </c>
      <c r="W42" s="119">
        <v>0</v>
      </c>
      <c r="X42" s="18">
        <v>0</v>
      </c>
      <c r="Y42" s="161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17">
        <v>0</v>
      </c>
      <c r="AX42" s="17">
        <v>0</v>
      </c>
    </row>
    <row r="43" spans="1:50" s="6" customFormat="1" ht="22.5" customHeight="1" x14ac:dyDescent="0.15">
      <c r="A43" s="136" t="s">
        <v>81</v>
      </c>
      <c r="B43" s="205"/>
      <c r="C43" s="198"/>
      <c r="D43" s="173" t="s">
        <v>136</v>
      </c>
      <c r="E43" s="17"/>
      <c r="F43" s="17"/>
      <c r="G43" s="17"/>
      <c r="H43" s="17"/>
      <c r="I43" s="18"/>
      <c r="J43" s="17">
        <v>0</v>
      </c>
      <c r="K43" s="17"/>
      <c r="L43" s="17"/>
      <c r="M43" s="18">
        <v>0</v>
      </c>
      <c r="N43" s="18"/>
      <c r="O43" s="18">
        <v>0</v>
      </c>
      <c r="P43" s="18">
        <v>0</v>
      </c>
      <c r="Q43" s="19"/>
      <c r="R43" s="18"/>
      <c r="S43" s="20">
        <v>0</v>
      </c>
      <c r="T43" s="18"/>
      <c r="U43" s="100">
        <v>0</v>
      </c>
      <c r="V43" s="18">
        <v>0</v>
      </c>
      <c r="W43" s="119">
        <v>0</v>
      </c>
      <c r="X43" s="18">
        <v>0</v>
      </c>
      <c r="Y43" s="161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17">
        <v>0</v>
      </c>
      <c r="AX43" s="17">
        <v>0</v>
      </c>
    </row>
    <row r="44" spans="1:50" s="6" customFormat="1" ht="37.5" customHeight="1" x14ac:dyDescent="0.15">
      <c r="A44" s="136" t="s">
        <v>82</v>
      </c>
      <c r="B44" s="205"/>
      <c r="C44" s="198"/>
      <c r="D44" s="173" t="s">
        <v>19</v>
      </c>
      <c r="E44" s="17"/>
      <c r="F44" s="17"/>
      <c r="G44" s="17"/>
      <c r="H44" s="17"/>
      <c r="I44" s="18"/>
      <c r="J44" s="17">
        <v>0</v>
      </c>
      <c r="K44" s="17"/>
      <c r="L44" s="17"/>
      <c r="M44" s="18">
        <v>0</v>
      </c>
      <c r="N44" s="18"/>
      <c r="O44" s="18">
        <v>0</v>
      </c>
      <c r="P44" s="18">
        <v>0</v>
      </c>
      <c r="Q44" s="19"/>
      <c r="R44" s="18"/>
      <c r="S44" s="20">
        <v>0</v>
      </c>
      <c r="T44" s="18"/>
      <c r="U44" s="100">
        <v>0</v>
      </c>
      <c r="V44" s="18">
        <v>0</v>
      </c>
      <c r="W44" s="119">
        <v>0</v>
      </c>
      <c r="X44" s="18">
        <v>0</v>
      </c>
      <c r="Y44" s="161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</row>
    <row r="45" spans="1:50" s="6" customFormat="1" ht="15" customHeight="1" x14ac:dyDescent="0.15">
      <c r="A45" s="136" t="s">
        <v>83</v>
      </c>
      <c r="B45" s="205"/>
      <c r="C45" s="198"/>
      <c r="D45" s="173" t="s">
        <v>20</v>
      </c>
      <c r="E45" s="17"/>
      <c r="F45" s="17"/>
      <c r="G45" s="17"/>
      <c r="H45" s="17"/>
      <c r="I45" s="18"/>
      <c r="J45" s="17"/>
      <c r="K45" s="17"/>
      <c r="L45" s="17"/>
      <c r="M45" s="18"/>
      <c r="N45" s="18"/>
      <c r="O45" s="18"/>
      <c r="P45" s="18"/>
      <c r="Q45" s="19"/>
      <c r="R45" s="18"/>
      <c r="S45" s="20"/>
      <c r="T45" s="18"/>
      <c r="U45" s="100">
        <v>0</v>
      </c>
      <c r="V45" s="18">
        <v>0</v>
      </c>
      <c r="W45" s="119">
        <v>0</v>
      </c>
      <c r="X45" s="18">
        <v>0</v>
      </c>
      <c r="Y45" s="161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17">
        <v>0</v>
      </c>
      <c r="AX45" s="17">
        <v>0</v>
      </c>
    </row>
    <row r="46" spans="1:50" s="6" customFormat="1" ht="24" customHeight="1" x14ac:dyDescent="0.15">
      <c r="A46" s="136" t="s">
        <v>84</v>
      </c>
      <c r="B46" s="205"/>
      <c r="C46" s="198"/>
      <c r="D46" s="173" t="s">
        <v>152</v>
      </c>
      <c r="E46" s="17"/>
      <c r="F46" s="17"/>
      <c r="G46" s="17"/>
      <c r="H46" s="17"/>
      <c r="I46" s="18"/>
      <c r="J46" s="17"/>
      <c r="K46" s="17"/>
      <c r="L46" s="17"/>
      <c r="M46" s="18"/>
      <c r="N46" s="18"/>
      <c r="O46" s="18"/>
      <c r="P46" s="18"/>
      <c r="Q46" s="19"/>
      <c r="R46" s="18"/>
      <c r="S46" s="20"/>
      <c r="T46" s="18"/>
      <c r="U46" s="100">
        <v>0</v>
      </c>
      <c r="V46" s="18">
        <v>0</v>
      </c>
      <c r="W46" s="119">
        <v>0</v>
      </c>
      <c r="X46" s="18">
        <v>0</v>
      </c>
      <c r="Y46" s="161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</row>
    <row r="47" spans="1:50" s="6" customFormat="1" ht="15" customHeight="1" x14ac:dyDescent="0.15">
      <c r="A47" s="136" t="s">
        <v>85</v>
      </c>
      <c r="B47" s="205"/>
      <c r="C47" s="198"/>
      <c r="D47" s="173" t="s">
        <v>21</v>
      </c>
      <c r="E47" s="17"/>
      <c r="F47" s="17"/>
      <c r="G47" s="17"/>
      <c r="H47" s="17"/>
      <c r="I47" s="18"/>
      <c r="J47" s="17"/>
      <c r="K47" s="17"/>
      <c r="L47" s="17"/>
      <c r="M47" s="18"/>
      <c r="N47" s="18"/>
      <c r="O47" s="18"/>
      <c r="P47" s="18"/>
      <c r="Q47" s="19"/>
      <c r="R47" s="18"/>
      <c r="S47" s="20"/>
      <c r="T47" s="18"/>
      <c r="U47" s="100">
        <v>0</v>
      </c>
      <c r="V47" s="18">
        <v>0</v>
      </c>
      <c r="W47" s="119">
        <v>0</v>
      </c>
      <c r="X47" s="18">
        <v>0</v>
      </c>
      <c r="Y47" s="161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</row>
    <row r="48" spans="1:50" s="6" customFormat="1" ht="26.25" customHeight="1" x14ac:dyDescent="0.15">
      <c r="A48" s="136" t="s">
        <v>168</v>
      </c>
      <c r="B48" s="205"/>
      <c r="C48" s="198"/>
      <c r="D48" s="173" t="s">
        <v>169</v>
      </c>
      <c r="E48" s="17"/>
      <c r="F48" s="17"/>
      <c r="G48" s="17"/>
      <c r="H48" s="17"/>
      <c r="I48" s="18"/>
      <c r="J48" s="17"/>
      <c r="K48" s="17"/>
      <c r="L48" s="17"/>
      <c r="M48" s="18"/>
      <c r="N48" s="18"/>
      <c r="O48" s="18"/>
      <c r="P48" s="18"/>
      <c r="Q48" s="19"/>
      <c r="R48" s="18"/>
      <c r="S48" s="20"/>
      <c r="T48" s="18"/>
      <c r="U48" s="100">
        <v>0</v>
      </c>
      <c r="V48" s="18">
        <v>0</v>
      </c>
      <c r="W48" s="119">
        <v>0</v>
      </c>
      <c r="X48" s="18">
        <v>0</v>
      </c>
      <c r="Y48" s="161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s="17">
        <v>0</v>
      </c>
    </row>
    <row r="49" spans="1:50" s="6" customFormat="1" ht="16.5" customHeight="1" x14ac:dyDescent="0.15">
      <c r="A49" s="136" t="s">
        <v>86</v>
      </c>
      <c r="B49" s="137" t="s">
        <v>5</v>
      </c>
      <c r="C49" s="139"/>
      <c r="D49" s="138"/>
      <c r="E49" s="17">
        <v>530000</v>
      </c>
      <c r="F49" s="17"/>
      <c r="G49" s="17"/>
      <c r="H49" s="17">
        <v>0</v>
      </c>
      <c r="I49" s="18">
        <f>20000000+1600000</f>
        <v>21600000</v>
      </c>
      <c r="J49" s="17">
        <v>0</v>
      </c>
      <c r="K49" s="17"/>
      <c r="L49" s="17"/>
      <c r="M49" s="18">
        <v>0</v>
      </c>
      <c r="N49" s="18">
        <v>5000000</v>
      </c>
      <c r="O49" s="18">
        <v>5000000</v>
      </c>
      <c r="P49" s="18">
        <v>19800000</v>
      </c>
      <c r="Q49" s="19">
        <v>19800000</v>
      </c>
      <c r="R49" s="18"/>
      <c r="S49" s="20">
        <v>0</v>
      </c>
      <c r="T49" s="18">
        <v>0</v>
      </c>
      <c r="U49" s="100">
        <v>0</v>
      </c>
      <c r="V49" s="18">
        <v>0</v>
      </c>
      <c r="W49" s="119">
        <v>0</v>
      </c>
      <c r="X49" s="18">
        <v>151000</v>
      </c>
      <c r="Y49" s="161">
        <v>116858.76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17">
        <v>0</v>
      </c>
      <c r="AX49" s="17">
        <v>0</v>
      </c>
    </row>
    <row r="50" spans="1:50" s="16" customFormat="1" ht="15" customHeight="1" x14ac:dyDescent="0.15">
      <c r="A50" s="202" t="s">
        <v>137</v>
      </c>
      <c r="B50" s="203"/>
      <c r="C50" s="203"/>
      <c r="D50" s="204"/>
      <c r="E50" s="15">
        <f>7234734+E29-E40+E90</f>
        <v>114438110</v>
      </c>
      <c r="F50" s="15">
        <f>E50+F29-F40+F90</f>
        <v>125637181.05</v>
      </c>
      <c r="G50" s="15">
        <f>F50+G29-G40+G90</f>
        <v>232249975.77000001</v>
      </c>
      <c r="H50" s="15">
        <f t="shared" ref="H50:Q50" si="8">F50+H29-H40+H90</f>
        <v>245037677.34</v>
      </c>
      <c r="I50" s="15">
        <f t="shared" si="8"/>
        <v>233515608.05000001</v>
      </c>
      <c r="J50" s="15">
        <f t="shared" si="8"/>
        <v>348874355.99000001</v>
      </c>
      <c r="K50" s="15">
        <f t="shared" si="8"/>
        <v>290634409</v>
      </c>
      <c r="L50" s="15">
        <f t="shared" si="8"/>
        <v>455914873.85000002</v>
      </c>
      <c r="M50" s="15">
        <f t="shared" si="8"/>
        <v>285044570.37</v>
      </c>
      <c r="N50" s="15">
        <f t="shared" si="8"/>
        <v>535590424.57000005</v>
      </c>
      <c r="O50" s="13">
        <f t="shared" si="8"/>
        <v>268543199.85000002</v>
      </c>
      <c r="P50" s="13">
        <f t="shared" si="8"/>
        <v>665853703.79000008</v>
      </c>
      <c r="Q50" s="19">
        <f t="shared" si="8"/>
        <v>323925069.22000003</v>
      </c>
      <c r="R50" s="13">
        <f>Q50+R29-R40+R90</f>
        <v>425103369.66000003</v>
      </c>
      <c r="S50" s="15">
        <f>Q50+S29-S40+S90</f>
        <v>373197579.29000002</v>
      </c>
      <c r="T50" s="13">
        <f>S50+T29-T40+T90</f>
        <v>525277749.67000008</v>
      </c>
      <c r="U50" s="98">
        <f>S50+U29-U40+U90</f>
        <v>520959313.88999999</v>
      </c>
      <c r="V50" s="13">
        <f>U50+V29-V40+V90</f>
        <v>635885309.62999988</v>
      </c>
      <c r="W50" s="117">
        <f>U50+W29-W40+W90</f>
        <v>488011595.19</v>
      </c>
      <c r="X50" s="13">
        <f>W50+X29-X40+X90</f>
        <v>603866306.33000004</v>
      </c>
      <c r="Y50" s="159">
        <f>W50+Y29-Y40+Y90</f>
        <v>459283600.02999997</v>
      </c>
      <c r="Z50" s="13">
        <v>551760387.16999996</v>
      </c>
      <c r="AA50" s="13">
        <v>669021432.00999999</v>
      </c>
      <c r="AB50" s="13">
        <v>894889420.01999998</v>
      </c>
      <c r="AC50" s="13">
        <v>830551994.09000003</v>
      </c>
      <c r="AD50" s="13">
        <v>758682250.17000008</v>
      </c>
      <c r="AE50" s="13">
        <v>681312506.36000013</v>
      </c>
      <c r="AF50" s="13">
        <v>594732773.20000017</v>
      </c>
      <c r="AG50" s="13">
        <v>508153040.0400002</v>
      </c>
      <c r="AH50" s="13">
        <v>438673306.88000023</v>
      </c>
      <c r="AI50" s="13">
        <v>372793573.72000027</v>
      </c>
      <c r="AJ50" s="13">
        <v>321200105.5600003</v>
      </c>
      <c r="AK50" s="13">
        <v>266874423.11000031</v>
      </c>
      <c r="AL50" s="13">
        <v>233315789.4000003</v>
      </c>
      <c r="AM50" s="13">
        <v>206289473.60000029</v>
      </c>
      <c r="AN50" s="13">
        <v>179263157.80000028</v>
      </c>
      <c r="AO50" s="13">
        <v>152236842.00000027</v>
      </c>
      <c r="AP50" s="13">
        <v>135210526.20000026</v>
      </c>
      <c r="AQ50" s="13">
        <v>118184210.40000026</v>
      </c>
      <c r="AR50" s="13">
        <v>101157894.60000026</v>
      </c>
      <c r="AS50" s="13">
        <v>84131578.800000265</v>
      </c>
      <c r="AT50" s="13">
        <v>67105263.000000268</v>
      </c>
      <c r="AU50" s="13">
        <v>50078947.200000271</v>
      </c>
      <c r="AV50" s="13">
        <v>33052631.40000027</v>
      </c>
      <c r="AW50" s="13">
        <v>16026315.60000027</v>
      </c>
      <c r="AX50" s="13">
        <v>2.7008354663848877E-7</v>
      </c>
    </row>
    <row r="51" spans="1:50" s="6" customFormat="1" ht="15" customHeight="1" x14ac:dyDescent="0.15">
      <c r="A51" s="136" t="s">
        <v>87</v>
      </c>
      <c r="B51" s="175"/>
      <c r="C51" s="174" t="s">
        <v>138</v>
      </c>
      <c r="D51" s="173"/>
      <c r="E51" s="17"/>
      <c r="F51" s="17"/>
      <c r="G51" s="17"/>
      <c r="H51" s="17"/>
      <c r="I51" s="18"/>
      <c r="J51" s="17"/>
      <c r="K51" s="17"/>
      <c r="L51" s="17"/>
      <c r="M51" s="18"/>
      <c r="N51" s="18"/>
      <c r="O51" s="18"/>
      <c r="P51" s="18"/>
      <c r="Q51" s="19"/>
      <c r="R51" s="18"/>
      <c r="S51" s="20"/>
      <c r="T51" s="18"/>
      <c r="U51" s="100">
        <v>0</v>
      </c>
      <c r="V51" s="18">
        <v>0</v>
      </c>
      <c r="W51" s="119">
        <v>0</v>
      </c>
      <c r="X51" s="18"/>
      <c r="Y51" s="161">
        <v>0</v>
      </c>
      <c r="Z51" s="17"/>
      <c r="AA51" s="17"/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</row>
    <row r="52" spans="1:50" s="16" customFormat="1" ht="15" customHeight="1" x14ac:dyDescent="0.15">
      <c r="A52" s="141" t="s">
        <v>22</v>
      </c>
      <c r="B52" s="141"/>
      <c r="C52" s="141"/>
      <c r="D52" s="141"/>
      <c r="E52" s="28"/>
      <c r="F52" s="28"/>
      <c r="G52" s="28"/>
      <c r="H52" s="29"/>
      <c r="I52" s="30"/>
      <c r="J52" s="29"/>
      <c r="K52" s="31"/>
      <c r="L52" s="31"/>
      <c r="M52" s="31"/>
      <c r="N52" s="31"/>
      <c r="O52" s="31"/>
      <c r="P52" s="30"/>
      <c r="Q52" s="31"/>
      <c r="R52" s="31"/>
      <c r="S52" s="32"/>
      <c r="T52" s="30"/>
      <c r="U52" s="103"/>
      <c r="V52" s="113"/>
      <c r="W52" s="121"/>
      <c r="X52" s="156"/>
      <c r="Y52" s="163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</row>
    <row r="53" spans="1:50" s="62" customFormat="1" ht="15" customHeight="1" x14ac:dyDescent="0.15">
      <c r="A53" s="135" t="s">
        <v>88</v>
      </c>
      <c r="B53" s="140" t="s">
        <v>6</v>
      </c>
      <c r="C53" s="140"/>
      <c r="D53" s="140"/>
      <c r="E53" s="58">
        <f t="shared" ref="E53:M53" si="9">E4-E15</f>
        <v>85977626.379999995</v>
      </c>
      <c r="F53" s="58">
        <f t="shared" si="9"/>
        <v>88391282.74000001</v>
      </c>
      <c r="G53" s="58">
        <f t="shared" si="9"/>
        <v>98369600.659999967</v>
      </c>
      <c r="H53" s="58">
        <f t="shared" si="9"/>
        <v>105452118</v>
      </c>
      <c r="I53" s="58">
        <f t="shared" si="9"/>
        <v>144494335.24000001</v>
      </c>
      <c r="J53" s="59">
        <f t="shared" si="9"/>
        <v>137253758</v>
      </c>
      <c r="K53" s="59">
        <f t="shared" si="9"/>
        <v>136217932.12</v>
      </c>
      <c r="L53" s="59">
        <f t="shared" si="9"/>
        <v>134476180.5</v>
      </c>
      <c r="M53" s="58">
        <f t="shared" si="9"/>
        <v>163414545.2299999</v>
      </c>
      <c r="N53" s="58"/>
      <c r="O53" s="58">
        <f t="shared" ref="O53:Y53" si="10">O4-O15</f>
        <v>163764072.29000008</v>
      </c>
      <c r="P53" s="58">
        <f t="shared" si="10"/>
        <v>135286288.18000007</v>
      </c>
      <c r="Q53" s="60">
        <f t="shared" si="10"/>
        <v>174566241.24999988</v>
      </c>
      <c r="R53" s="59">
        <f t="shared" si="10"/>
        <v>143127907.14999998</v>
      </c>
      <c r="S53" s="61">
        <f t="shared" si="10"/>
        <v>187312601.09000003</v>
      </c>
      <c r="T53" s="59">
        <f t="shared" si="10"/>
        <v>60923292.870000124</v>
      </c>
      <c r="U53" s="99">
        <f t="shared" si="10"/>
        <v>192631931.21000004</v>
      </c>
      <c r="V53" s="58">
        <f t="shared" si="10"/>
        <v>101107794.38000011</v>
      </c>
      <c r="W53" s="118">
        <f t="shared" si="10"/>
        <v>217725186.87999988</v>
      </c>
      <c r="X53" s="59">
        <f t="shared" si="10"/>
        <v>60780104.480000019</v>
      </c>
      <c r="Y53" s="160">
        <f t="shared" si="10"/>
        <v>146153454.63999987</v>
      </c>
      <c r="Z53" s="59">
        <v>62292788.579999924</v>
      </c>
      <c r="AA53" s="59">
        <v>84378144.650000095</v>
      </c>
      <c r="AB53" s="59">
        <v>103219736.38999987</v>
      </c>
      <c r="AC53" s="59">
        <v>120112383.24000001</v>
      </c>
      <c r="AD53" s="59">
        <v>153013382.16000009</v>
      </c>
      <c r="AE53" s="59">
        <v>170093212.01999998</v>
      </c>
      <c r="AF53" s="59">
        <v>198246452.61000013</v>
      </c>
      <c r="AG53" s="59">
        <v>229405817.18999982</v>
      </c>
      <c r="AH53" s="59">
        <v>256778768.13999987</v>
      </c>
      <c r="AI53" s="59">
        <v>279476512.96000004</v>
      </c>
      <c r="AJ53" s="59">
        <v>294360671.78999996</v>
      </c>
      <c r="AK53" s="59">
        <v>302011976.16000009</v>
      </c>
      <c r="AL53" s="59">
        <v>302797198.23000002</v>
      </c>
      <c r="AM53" s="59">
        <v>301530882.34000015</v>
      </c>
      <c r="AN53" s="59">
        <v>299850987.00999999</v>
      </c>
      <c r="AO53" s="59">
        <v>298943474.6099999</v>
      </c>
      <c r="AP53" s="59">
        <v>296447095.94999981</v>
      </c>
      <c r="AQ53" s="59">
        <v>293078968.10000014</v>
      </c>
      <c r="AR53" s="59">
        <v>290214185.40999985</v>
      </c>
      <c r="AS53" s="59">
        <v>285664058.74000001</v>
      </c>
      <c r="AT53" s="59">
        <v>280631927.61999989</v>
      </c>
      <c r="AU53" s="59">
        <v>276329579.30000019</v>
      </c>
      <c r="AV53" s="59">
        <v>270268470.23000002</v>
      </c>
      <c r="AW53" s="59">
        <v>263644492.60000038</v>
      </c>
      <c r="AX53" s="59">
        <v>257711306</v>
      </c>
    </row>
    <row r="54" spans="1:50" s="6" customFormat="1" ht="24" customHeight="1" x14ac:dyDescent="0.15">
      <c r="A54" s="136" t="s">
        <v>89</v>
      </c>
      <c r="B54" s="187" t="s">
        <v>139</v>
      </c>
      <c r="C54" s="187"/>
      <c r="D54" s="187"/>
      <c r="E54" s="17">
        <f t="shared" ref="E54:W54" si="11">(E4+E31+E33)-E15</f>
        <v>106403415.71000004</v>
      </c>
      <c r="F54" s="17">
        <f t="shared" si="11"/>
        <v>144496986.35000002</v>
      </c>
      <c r="G54" s="17">
        <f t="shared" si="11"/>
        <v>132504627.90999997</v>
      </c>
      <c r="H54" s="17">
        <f t="shared" si="11"/>
        <v>176966172.71000004</v>
      </c>
      <c r="I54" s="17">
        <f t="shared" si="11"/>
        <v>216008389.95000005</v>
      </c>
      <c r="J54" s="17">
        <f t="shared" si="11"/>
        <v>165352659.19000006</v>
      </c>
      <c r="K54" s="17">
        <f t="shared" si="11"/>
        <v>164316833.31000006</v>
      </c>
      <c r="L54" s="17">
        <f t="shared" si="11"/>
        <v>260542159.69000006</v>
      </c>
      <c r="M54" s="17">
        <f t="shared" si="11"/>
        <v>302802679.93999982</v>
      </c>
      <c r="N54" s="17">
        <f t="shared" si="11"/>
        <v>203758664.4799999</v>
      </c>
      <c r="O54" s="17">
        <f t="shared" si="11"/>
        <v>242479680.00000012</v>
      </c>
      <c r="P54" s="18">
        <f t="shared" si="11"/>
        <v>195286288.18000007</v>
      </c>
      <c r="Q54" s="17">
        <f t="shared" si="11"/>
        <v>261384313.88</v>
      </c>
      <c r="R54" s="17">
        <f t="shared" si="11"/>
        <v>213127907.14999998</v>
      </c>
      <c r="S54" s="20">
        <f t="shared" si="11"/>
        <v>282386940.30000007</v>
      </c>
      <c r="T54" s="17">
        <f t="shared" si="11"/>
        <v>120725657.43000031</v>
      </c>
      <c r="U54" s="100">
        <f t="shared" si="11"/>
        <v>252434295.77000022</v>
      </c>
      <c r="V54" s="18">
        <f t="shared" si="11"/>
        <v>315345364.7900002</v>
      </c>
      <c r="W54" s="119">
        <f t="shared" si="11"/>
        <v>437873247.75999999</v>
      </c>
      <c r="X54" s="18">
        <f>(X4+X31+X35+X33)-X15</f>
        <v>193499178.24000001</v>
      </c>
      <c r="Y54" s="161">
        <f>(Y4+Y31+Y35+Y33)-Y15</f>
        <v>308891108.73999977</v>
      </c>
      <c r="Z54" s="17">
        <v>79734578.059999943</v>
      </c>
      <c r="AA54" s="17">
        <v>84878144.650000095</v>
      </c>
      <c r="AB54" s="17">
        <v>103719736.38999987</v>
      </c>
      <c r="AC54" s="17">
        <v>120612383.24000001</v>
      </c>
      <c r="AD54" s="17">
        <v>153513382.16000009</v>
      </c>
      <c r="AE54" s="17">
        <v>171286212.01999998</v>
      </c>
      <c r="AF54" s="17">
        <v>199934452.61000013</v>
      </c>
      <c r="AG54" s="17">
        <v>231093817.18999982</v>
      </c>
      <c r="AH54" s="17">
        <v>258466768.13999987</v>
      </c>
      <c r="AI54" s="17">
        <v>281164512.96000004</v>
      </c>
      <c r="AJ54" s="17">
        <v>295882005.78999996</v>
      </c>
      <c r="AK54" s="17">
        <v>303199976.16000009</v>
      </c>
      <c r="AL54" s="17">
        <v>303985198.23000002</v>
      </c>
      <c r="AM54" s="17">
        <v>302718882.34000015</v>
      </c>
      <c r="AN54" s="17">
        <v>301038987.00999999</v>
      </c>
      <c r="AO54" s="17">
        <v>300131474.6099999</v>
      </c>
      <c r="AP54" s="17">
        <v>297635095.94999981</v>
      </c>
      <c r="AQ54" s="17">
        <v>294266968.10000014</v>
      </c>
      <c r="AR54" s="17">
        <v>291402185.40999985</v>
      </c>
      <c r="AS54" s="17">
        <v>286852058.74000001</v>
      </c>
      <c r="AT54" s="17">
        <v>281819927.61999989</v>
      </c>
      <c r="AU54" s="17">
        <v>277517579.30000019</v>
      </c>
      <c r="AV54" s="17">
        <v>270367470.23000002</v>
      </c>
      <c r="AW54" s="17">
        <v>263644492.60000038</v>
      </c>
      <c r="AX54" s="17">
        <v>257711306</v>
      </c>
    </row>
    <row r="55" spans="1:50" s="16" customFormat="1" ht="15" customHeight="1" x14ac:dyDescent="0.15">
      <c r="A55" s="141" t="s">
        <v>23</v>
      </c>
      <c r="B55" s="141"/>
      <c r="C55" s="141"/>
      <c r="D55" s="141"/>
      <c r="E55" s="33"/>
      <c r="F55" s="33"/>
      <c r="G55" s="33"/>
      <c r="H55" s="34"/>
      <c r="I55" s="35"/>
      <c r="J55" s="36"/>
      <c r="K55" s="37"/>
      <c r="L55" s="37"/>
      <c r="M55" s="37"/>
      <c r="N55" s="37"/>
      <c r="O55" s="37"/>
      <c r="P55" s="94"/>
      <c r="Q55" s="37"/>
      <c r="R55" s="37"/>
      <c r="S55" s="38"/>
      <c r="T55" s="94"/>
      <c r="U55" s="104"/>
      <c r="V55" s="114"/>
      <c r="W55" s="122"/>
      <c r="X55" s="157"/>
      <c r="Y55" s="164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</row>
    <row r="56" spans="1:50" s="62" customFormat="1" ht="47.25" customHeight="1" x14ac:dyDescent="0.15">
      <c r="A56" s="135" t="s">
        <v>90</v>
      </c>
      <c r="B56" s="188" t="s">
        <v>163</v>
      </c>
      <c r="C56" s="188"/>
      <c r="D56" s="188"/>
      <c r="E56" s="63" t="e">
        <f>((E17-E18)+(E20-#REF!-E21)+(E40-E41)+#REF!)/(E3-#REF!)</f>
        <v>#REF!</v>
      </c>
      <c r="F56" s="63" t="e">
        <f>((F17-F18)+(F20-#REF!-F21)+(F40-F41)+#REF!)/(F3-#REF!)</f>
        <v>#REF!</v>
      </c>
      <c r="G56" s="63" t="e">
        <f>((G17-G18)+(G20-#REF!-G21)+(G40-G41)+#REF!)/(G3-#REF!)</f>
        <v>#REF!</v>
      </c>
      <c r="H56" s="63" t="e">
        <f>((H17-H18)+(H20-#REF!-H21)+(H40-H41)+#REF!)/(H3-#REF!)</f>
        <v>#REF!</v>
      </c>
      <c r="I56" s="63" t="e">
        <f>((I17-I18)+(I20-#REF!-I21)+(I40-I41)+#REF!)/(I3-#REF!)</f>
        <v>#REF!</v>
      </c>
      <c r="J56" s="63" t="e">
        <f>((J17-J18)+(J20-#REF!-J21)+(J40-J41)+#REF!)/(J3-#REF!)</f>
        <v>#REF!</v>
      </c>
      <c r="K56" s="131" t="e">
        <f>((K17-K18)+(K20-#REF!-K21)+(K40-K41)+#REF!)/(K3-#REF!)</f>
        <v>#REF!</v>
      </c>
      <c r="L56" s="63"/>
      <c r="M56" s="63" t="e">
        <f>((M17-M18)+(M20-#REF!-M21)+(M40-M41)+#REF!)/(M3-#REF!)</f>
        <v>#REF!</v>
      </c>
      <c r="N56" s="63"/>
      <c r="O56" s="63" t="e">
        <f>((O17-O18)+(O20-#REF!-O21)+(O40-O41)+#REF!)/(O3-#REF!)</f>
        <v>#REF!</v>
      </c>
      <c r="P56" s="63" t="e">
        <f>((P17-P18)+(P20-#REF!-P21)+(P40-P41)+#REF!)/(P3-#REF!)</f>
        <v>#REF!</v>
      </c>
      <c r="Q56" s="64" t="e">
        <f>((Q17-Q18)+(Q20-#REF!-Q21)+(Q40-Q41)+#REF!)/(Q3-#REF!)</f>
        <v>#REF!</v>
      </c>
      <c r="R56" s="63"/>
      <c r="S56" s="65">
        <f>(S40+S19+S81)/(S4-S8)</f>
        <v>3.4732852446455451E-2</v>
      </c>
      <c r="T56" s="63">
        <f t="shared" ref="T56:Y56" si="12">(T40+T19-T22+T81)/(T4-T8)</f>
        <v>3.6082312230489973E-2</v>
      </c>
      <c r="U56" s="105">
        <f t="shared" si="12"/>
        <v>3.2456375559080777E-2</v>
      </c>
      <c r="V56" s="63">
        <f t="shared" si="12"/>
        <v>4.016834008388822E-2</v>
      </c>
      <c r="W56" s="123">
        <f t="shared" si="12"/>
        <v>3.6575040965283259E-2</v>
      </c>
      <c r="X56" s="63">
        <f t="shared" si="12"/>
        <v>5.9666286184394714E-2</v>
      </c>
      <c r="Y56" s="165">
        <f t="shared" si="12"/>
        <v>5.6924567249860454E-2</v>
      </c>
      <c r="Z56" s="63">
        <v>6.4090316921264073E-2</v>
      </c>
      <c r="AA56" s="63">
        <v>6.2396030828339277E-2</v>
      </c>
      <c r="AB56" s="63">
        <v>6.6008291525271365E-2</v>
      </c>
      <c r="AC56" s="63">
        <v>7.6843194631382575E-2</v>
      </c>
      <c r="AD56" s="63">
        <v>6.9355241378807372E-2</v>
      </c>
      <c r="AE56" s="63">
        <v>6.8788602892335265E-2</v>
      </c>
      <c r="AF56" s="63">
        <v>7.0016751369496519E-2</v>
      </c>
      <c r="AG56" s="63">
        <v>6.5280591704903093E-2</v>
      </c>
      <c r="AH56" s="63">
        <v>5.096937303969902E-2</v>
      </c>
      <c r="AI56" s="63">
        <v>4.5864788949913901E-2</v>
      </c>
      <c r="AJ56" s="63">
        <v>3.5422683337123471E-2</v>
      </c>
      <c r="AK56" s="63">
        <v>3.5117639597378049E-2</v>
      </c>
      <c r="AL56" s="63">
        <v>2.2649264337533476E-2</v>
      </c>
      <c r="AM56" s="63">
        <v>1.8216988014097279E-2</v>
      </c>
      <c r="AN56" s="63">
        <v>1.7245486097213745E-2</v>
      </c>
      <c r="AO56" s="63">
        <v>1.6307048186213324E-2</v>
      </c>
      <c r="AP56" s="63">
        <v>1.0670583048006138E-2</v>
      </c>
      <c r="AQ56" s="63">
        <v>1.0130036267782038E-2</v>
      </c>
      <c r="AR56" s="63">
        <v>9.592199715427515E-3</v>
      </c>
      <c r="AS56" s="63">
        <v>9.0852721340303876E-3</v>
      </c>
      <c r="AT56" s="63">
        <v>8.5965601798748213E-3</v>
      </c>
      <c r="AU56" s="63">
        <v>8.1241947831203719E-3</v>
      </c>
      <c r="AV56" s="63">
        <v>7.6677079723027055E-3</v>
      </c>
      <c r="AW56" s="63">
        <v>7.230743113130148E-3</v>
      </c>
      <c r="AX56" s="63">
        <v>6.415226255387119E-3</v>
      </c>
    </row>
    <row r="57" spans="1:50" s="40" customFormat="1" ht="39.75" customHeight="1" x14ac:dyDescent="0.15">
      <c r="A57" s="136" t="s">
        <v>91</v>
      </c>
      <c r="B57" s="189" t="s">
        <v>140</v>
      </c>
      <c r="C57" s="190"/>
      <c r="D57" s="191"/>
      <c r="E57" s="39"/>
      <c r="F57" s="22">
        <f t="shared" ref="F57:S57" si="13">((F4-F64)-(F15-F19-F70))/(F4-F8)</f>
        <v>0.11387633302244116</v>
      </c>
      <c r="G57" s="22">
        <f t="shared" si="13"/>
        <v>0.12689522136941608</v>
      </c>
      <c r="H57" s="22">
        <f t="shared" si="13"/>
        <v>0.12996292111291896</v>
      </c>
      <c r="I57" s="22">
        <f t="shared" si="13"/>
        <v>0.17106206264257379</v>
      </c>
      <c r="J57" s="22">
        <f t="shared" si="13"/>
        <v>0.15954719983760221</v>
      </c>
      <c r="K57" s="130">
        <f t="shared" si="13"/>
        <v>0.17836358024664897</v>
      </c>
      <c r="L57" s="22">
        <f t="shared" si="13"/>
        <v>0.14503888042074453</v>
      </c>
      <c r="M57" s="130">
        <f t="shared" si="13"/>
        <v>0.20309404209133344</v>
      </c>
      <c r="N57" s="22">
        <f t="shared" si="13"/>
        <v>0.13368498625270364</v>
      </c>
      <c r="O57" s="130">
        <f t="shared" si="13"/>
        <v>0.19703872367365247</v>
      </c>
      <c r="P57" s="22">
        <f t="shared" si="13"/>
        <v>0.13447707706768799</v>
      </c>
      <c r="Q57" s="41">
        <f t="shared" si="13"/>
        <v>0.1984947388780631</v>
      </c>
      <c r="R57" s="22">
        <f t="shared" si="13"/>
        <v>0.16013294499512121</v>
      </c>
      <c r="S57" s="42">
        <f t="shared" si="13"/>
        <v>0.19941870804075248</v>
      </c>
      <c r="T57" s="22">
        <f t="shared" ref="T57:Y57" si="14">((T4-T64)-(T15-T19-T70-T93))/(T4-T8)</f>
        <v>7.6380359880470552E-2</v>
      </c>
      <c r="U57" s="106">
        <f t="shared" si="14"/>
        <v>0.18576665507008039</v>
      </c>
      <c r="V57" s="22">
        <f t="shared" si="14"/>
        <v>0.10968645744758278</v>
      </c>
      <c r="W57" s="124">
        <f t="shared" si="14"/>
        <v>0.19897212562032887</v>
      </c>
      <c r="X57" s="22">
        <f t="shared" si="14"/>
        <v>7.3542312209122329E-2</v>
      </c>
      <c r="Y57" s="166">
        <f t="shared" si="14"/>
        <v>0.14369319217488558</v>
      </c>
      <c r="Z57" s="22">
        <v>7.8668660069855872E-2</v>
      </c>
      <c r="AA57" s="22">
        <v>9.0703831522673334E-2</v>
      </c>
      <c r="AB57" s="22">
        <v>0.10392982091114851</v>
      </c>
      <c r="AC57" s="22">
        <v>0.1167479352048406</v>
      </c>
      <c r="AD57" s="22">
        <v>0.12525850109115383</v>
      </c>
      <c r="AE57" s="22">
        <v>0.1304911887168532</v>
      </c>
      <c r="AF57" s="22">
        <v>0.14128035295063995</v>
      </c>
      <c r="AG57" s="22">
        <v>0.15261962440712207</v>
      </c>
      <c r="AH57" s="22">
        <v>0.1610706729772019</v>
      </c>
      <c r="AI57" s="22">
        <v>0.16692557829546165</v>
      </c>
      <c r="AJ57" s="22">
        <v>0.16873039939424753</v>
      </c>
      <c r="AK57" s="22">
        <v>0.16737985080282983</v>
      </c>
      <c r="AL57" s="22">
        <v>0.16296791697149923</v>
      </c>
      <c r="AM57" s="22">
        <v>0.15792910211110253</v>
      </c>
      <c r="AN57" s="22">
        <v>0.1528484368512554</v>
      </c>
      <c r="AO57" s="22">
        <v>0.14821429701948338</v>
      </c>
      <c r="AP57" s="22">
        <v>0.14303984234027256</v>
      </c>
      <c r="AQ57" s="22">
        <v>0.13783429500066638</v>
      </c>
      <c r="AR57" s="22">
        <v>0.13295133634659081</v>
      </c>
      <c r="AS57" s="22">
        <v>0.12755420551617505</v>
      </c>
      <c r="AT57" s="22">
        <v>0.12212571022206369</v>
      </c>
      <c r="AU57" s="22">
        <v>0.11712682721547422</v>
      </c>
      <c r="AV57" s="22">
        <v>0.11162654668240821</v>
      </c>
      <c r="AW57" s="22">
        <v>0.10609398708133493</v>
      </c>
      <c r="AX57" s="22">
        <v>0.10097695602455102</v>
      </c>
    </row>
    <row r="58" spans="1:50" s="62" customFormat="1" ht="57.75" customHeight="1" x14ac:dyDescent="0.15">
      <c r="A58" s="135" t="s">
        <v>92</v>
      </c>
      <c r="B58" s="188" t="s">
        <v>164</v>
      </c>
      <c r="C58" s="188"/>
      <c r="D58" s="188"/>
      <c r="E58" s="66"/>
      <c r="F58" s="66"/>
      <c r="G58" s="63"/>
      <c r="H58" s="63" t="e">
        <f>(#REF!+#REF!+#REF!)/3</f>
        <v>#REF!</v>
      </c>
      <c r="I58" s="63" t="e">
        <f>(#REF!+#REF!+#REF!)/3</f>
        <v>#REF!</v>
      </c>
      <c r="J58" s="63" t="e">
        <f>(#REF!+#REF!+#REF!)/3</f>
        <v>#REF!</v>
      </c>
      <c r="K58" s="131" t="e">
        <f>(#REF!+#REF!+#REF!)/3</f>
        <v>#REF!</v>
      </c>
      <c r="L58" s="63"/>
      <c r="M58" s="63" t="e">
        <f>(#REF!+#REF!+#REF!)/3</f>
        <v>#REF!</v>
      </c>
      <c r="N58" s="63"/>
      <c r="O58" s="63"/>
      <c r="P58" s="63"/>
      <c r="Q58" s="64"/>
      <c r="R58" s="63"/>
      <c r="S58" s="65" t="e">
        <f>(#REF!+#REF!+#REF!)/3</f>
        <v>#REF!</v>
      </c>
      <c r="T58" s="63" t="e">
        <f>(#REF!+#REF!+#REF!)/3</f>
        <v>#REF!</v>
      </c>
      <c r="U58" s="105" t="e">
        <f>(#REF!+#REF!+#REF!)/3</f>
        <v>#REF!</v>
      </c>
      <c r="V58" s="63" t="e">
        <f>(#REF!+#REF!+#REF!)/3</f>
        <v>#REF!</v>
      </c>
      <c r="W58" s="123" t="e">
        <f>(#REF!+#REF!+#REF!)/3</f>
        <v>#REF!</v>
      </c>
      <c r="X58" s="63"/>
      <c r="Y58" s="165" t="e">
        <f>(#REF!+#REF!+#REF!+#REF!+#REF!+#REF!+#REF!)/7</f>
        <v>#REF!</v>
      </c>
      <c r="Z58" s="63">
        <v>0.24465714285714285</v>
      </c>
      <c r="AA58" s="63">
        <v>0.23407142857142854</v>
      </c>
      <c r="AB58" s="63">
        <v>0.21587142857142855</v>
      </c>
      <c r="AC58" s="63">
        <v>0.13300000000000001</v>
      </c>
      <c r="AD58" s="63">
        <v>0.1211857142857143</v>
      </c>
      <c r="AE58" s="67">
        <v>0.11254285714285715</v>
      </c>
      <c r="AF58" s="67">
        <v>0.10275714285714287</v>
      </c>
      <c r="AG58" s="67">
        <v>0.11244285714285714</v>
      </c>
      <c r="AH58" s="67">
        <v>0.123</v>
      </c>
      <c r="AI58" s="67">
        <v>0.13305714285714285</v>
      </c>
      <c r="AJ58" s="67">
        <v>0.14205714285714288</v>
      </c>
      <c r="AK58" s="67">
        <v>0.14948571428571431</v>
      </c>
      <c r="AL58" s="67">
        <v>0.15549999999999997</v>
      </c>
      <c r="AM58" s="67">
        <v>0.16014285714285714</v>
      </c>
      <c r="AN58" s="67">
        <v>0.16251428571428569</v>
      </c>
      <c r="AO58" s="67">
        <v>0.16254285714285713</v>
      </c>
      <c r="AP58" s="67">
        <v>0.16070000000000004</v>
      </c>
      <c r="AQ58" s="67">
        <v>0.15728571428571428</v>
      </c>
      <c r="AR58" s="67">
        <v>0.15287142857142857</v>
      </c>
      <c r="AS58" s="67">
        <v>0.14795714285714287</v>
      </c>
      <c r="AT58" s="67">
        <v>0.1429</v>
      </c>
      <c r="AU58" s="67">
        <v>0.13778571428571429</v>
      </c>
      <c r="AV58" s="67">
        <v>0.13268571428571427</v>
      </c>
      <c r="AW58" s="67">
        <v>0.12745714285714285</v>
      </c>
      <c r="AX58" s="67">
        <v>0.1221857142857143</v>
      </c>
    </row>
    <row r="59" spans="1:50" s="6" customFormat="1" ht="69" customHeight="1" x14ac:dyDescent="0.15">
      <c r="A59" s="136" t="s">
        <v>93</v>
      </c>
      <c r="B59" s="137"/>
      <c r="C59" s="182" t="s">
        <v>141</v>
      </c>
      <c r="D59" s="183"/>
      <c r="E59" s="43"/>
      <c r="F59" s="43"/>
      <c r="G59" s="22"/>
      <c r="H59" s="22" t="e">
        <f>(#REF!+#REF!+#REF!)/3</f>
        <v>#REF!</v>
      </c>
      <c r="I59" s="22" t="e">
        <f>(#REF!+#REF!+#REF!)/3</f>
        <v>#REF!</v>
      </c>
      <c r="J59" s="22" t="e">
        <f>(#REF!+#REF!+#REF!)/3</f>
        <v>#REF!</v>
      </c>
      <c r="K59" s="130" t="e">
        <f>(#REF!+#REF!+#REF!)/3</f>
        <v>#REF!</v>
      </c>
      <c r="L59" s="22"/>
      <c r="M59" s="22" t="e">
        <f>(#REF!+#REF!+#REF!)/3</f>
        <v>#REF!</v>
      </c>
      <c r="N59" s="22"/>
      <c r="O59" s="22"/>
      <c r="P59" s="22"/>
      <c r="Q59" s="41"/>
      <c r="R59" s="22"/>
      <c r="S59" s="42" t="e">
        <f>(#REF!+#REF!+#REF!)/3</f>
        <v>#REF!</v>
      </c>
      <c r="T59" s="22" t="e">
        <f>(#REF!+#REF!+#REF!)/3</f>
        <v>#REF!</v>
      </c>
      <c r="U59" s="106" t="e">
        <f>(#REF!+#REF!+#REF!)/3</f>
        <v>#REF!</v>
      </c>
      <c r="V59" s="22"/>
      <c r="W59" s="124" t="e">
        <f>(#REF!+#REF!+#REF!)/3</f>
        <v>#REF!</v>
      </c>
      <c r="X59" s="22"/>
      <c r="Y59" s="166" t="e">
        <f>(#REF!+#REF!+#REF!+#REF!+#REF!+#REF!+#REF!)/7</f>
        <v>#REF!</v>
      </c>
      <c r="Z59" s="22">
        <v>0.24807142857142855</v>
      </c>
      <c r="AA59" s="22">
        <v>0.23748571428571427</v>
      </c>
      <c r="AB59" s="22">
        <v>0.21928571428571428</v>
      </c>
      <c r="AC59" s="22">
        <v>0.14302857142857145</v>
      </c>
      <c r="AD59" s="22">
        <v>0.1312142857142857</v>
      </c>
      <c r="AE59" s="22">
        <v>0.12257142857142857</v>
      </c>
      <c r="AF59" s="22">
        <v>0.11278571428571427</v>
      </c>
      <c r="AG59" s="22">
        <v>0.11244285714285714</v>
      </c>
      <c r="AH59" s="22">
        <v>0.123</v>
      </c>
      <c r="AI59" s="22">
        <v>0.13305714285714285</v>
      </c>
      <c r="AJ59" s="22">
        <v>0.14205714285714288</v>
      </c>
      <c r="AK59" s="22">
        <v>0.14948571428571431</v>
      </c>
      <c r="AL59" s="22">
        <v>0.15549999999999997</v>
      </c>
      <c r="AM59" s="22">
        <v>0.16014285714285714</v>
      </c>
      <c r="AN59" s="22">
        <v>0.16251428571428569</v>
      </c>
      <c r="AO59" s="22">
        <v>0.16254285714285713</v>
      </c>
      <c r="AP59" s="22">
        <v>0.16070000000000004</v>
      </c>
      <c r="AQ59" s="22">
        <v>0.15728571428571428</v>
      </c>
      <c r="AR59" s="22">
        <v>0.15287142857142857</v>
      </c>
      <c r="AS59" s="22">
        <v>0.14795714285714287</v>
      </c>
      <c r="AT59" s="22">
        <v>0.1429</v>
      </c>
      <c r="AU59" s="22">
        <v>0.13778571428571429</v>
      </c>
      <c r="AV59" s="22">
        <v>0.13268571428571427</v>
      </c>
      <c r="AW59" s="22">
        <v>0.12745714285714285</v>
      </c>
      <c r="AX59" s="22">
        <v>0.1221857142857143</v>
      </c>
    </row>
    <row r="60" spans="1:50" s="62" customFormat="1" ht="61.5" customHeight="1" x14ac:dyDescent="0.15">
      <c r="A60" s="135" t="s">
        <v>94</v>
      </c>
      <c r="B60" s="192" t="s">
        <v>165</v>
      </c>
      <c r="C60" s="193"/>
      <c r="D60" s="194"/>
      <c r="E60" s="66"/>
      <c r="F60" s="66"/>
      <c r="G60" s="66"/>
      <c r="H60" s="68" t="e">
        <f>IF(H56&lt;=H58,"Spełniona","Nie spełniona")</f>
        <v>#REF!</v>
      </c>
      <c r="I60" s="69" t="e">
        <f>IF(I56&lt;=I58,"Spełniona","Nie spełniona")</f>
        <v>#REF!</v>
      </c>
      <c r="J60" s="68" t="e">
        <f>IF(J56&lt;=J58,"tak","nie")</f>
        <v>#REF!</v>
      </c>
      <c r="K60" s="68" t="e">
        <f>IF(K56&lt;=K58,"tak","nie")</f>
        <v>#REF!</v>
      </c>
      <c r="L60" s="68"/>
      <c r="M60" s="69" t="e">
        <f>IF(M56&lt;=M58,"tak","nie")</f>
        <v>#REF!</v>
      </c>
      <c r="N60" s="69"/>
      <c r="O60" s="69" t="e">
        <f t="shared" ref="O60:U60" si="15">IF(O56&lt;=O58,"tak","nie")</f>
        <v>#REF!</v>
      </c>
      <c r="P60" s="69" t="e">
        <f t="shared" si="15"/>
        <v>#REF!</v>
      </c>
      <c r="Q60" s="70" t="e">
        <f t="shared" si="15"/>
        <v>#REF!</v>
      </c>
      <c r="R60" s="69" t="str">
        <f t="shared" si="15"/>
        <v>tak</v>
      </c>
      <c r="S60" s="70" t="e">
        <f t="shared" si="15"/>
        <v>#REF!</v>
      </c>
      <c r="T60" s="68" t="e">
        <f t="shared" si="15"/>
        <v>#REF!</v>
      </c>
      <c r="U60" s="107" t="e">
        <f t="shared" si="15"/>
        <v>#REF!</v>
      </c>
      <c r="V60" s="69"/>
      <c r="W60" s="125" t="e">
        <f>IF(W56&lt;=W58,"tak","nie")</f>
        <v>#REF!</v>
      </c>
      <c r="X60" s="69"/>
      <c r="Y60" s="167" t="e">
        <f>IF(Y56&lt;=Y58,"tak","nie")</f>
        <v>#REF!</v>
      </c>
      <c r="Z60" s="68" t="s">
        <v>179</v>
      </c>
      <c r="AA60" s="68" t="s">
        <v>179</v>
      </c>
      <c r="AB60" s="68" t="s">
        <v>179</v>
      </c>
      <c r="AC60" s="68" t="s">
        <v>179</v>
      </c>
      <c r="AD60" s="68" t="s">
        <v>179</v>
      </c>
      <c r="AE60" s="68" t="s">
        <v>179</v>
      </c>
      <c r="AF60" s="68" t="s">
        <v>179</v>
      </c>
      <c r="AG60" s="68" t="s">
        <v>179</v>
      </c>
      <c r="AH60" s="68" t="s">
        <v>179</v>
      </c>
      <c r="AI60" s="68" t="s">
        <v>179</v>
      </c>
      <c r="AJ60" s="68" t="s">
        <v>179</v>
      </c>
      <c r="AK60" s="68" t="s">
        <v>179</v>
      </c>
      <c r="AL60" s="68" t="s">
        <v>179</v>
      </c>
      <c r="AM60" s="68" t="s">
        <v>179</v>
      </c>
      <c r="AN60" s="68" t="s">
        <v>179</v>
      </c>
      <c r="AO60" s="68" t="s">
        <v>179</v>
      </c>
      <c r="AP60" s="68" t="s">
        <v>179</v>
      </c>
      <c r="AQ60" s="68" t="s">
        <v>179</v>
      </c>
      <c r="AR60" s="68" t="s">
        <v>179</v>
      </c>
      <c r="AS60" s="68" t="s">
        <v>179</v>
      </c>
      <c r="AT60" s="68" t="s">
        <v>179</v>
      </c>
      <c r="AU60" s="68" t="s">
        <v>179</v>
      </c>
      <c r="AV60" s="68" t="s">
        <v>179</v>
      </c>
      <c r="AW60" s="68" t="s">
        <v>179</v>
      </c>
      <c r="AX60" s="68" t="s">
        <v>179</v>
      </c>
    </row>
    <row r="61" spans="1:50" s="6" customFormat="1" ht="64.5" customHeight="1" x14ac:dyDescent="0.15">
      <c r="A61" s="136" t="s">
        <v>95</v>
      </c>
      <c r="B61" s="137"/>
      <c r="C61" s="182" t="s">
        <v>142</v>
      </c>
      <c r="D61" s="183"/>
      <c r="E61" s="44"/>
      <c r="F61" s="44"/>
      <c r="G61" s="44"/>
      <c r="H61" s="45" t="e">
        <f>IF(H56&lt;=H59,"Spełniona","Nie spełniona")</f>
        <v>#REF!</v>
      </c>
      <c r="I61" s="46" t="e">
        <f>IF(I56&lt;=I59,"Spełniona","Nie spełniona")</f>
        <v>#REF!</v>
      </c>
      <c r="J61" s="45" t="e">
        <f>IF(J56&lt;=J59,"tak","nie")</f>
        <v>#REF!</v>
      </c>
      <c r="K61" s="45" t="e">
        <f>IF(K56&lt;=K59,"tak","nie")</f>
        <v>#REF!</v>
      </c>
      <c r="L61" s="45"/>
      <c r="M61" s="46" t="e">
        <f>IF(M56&lt;=M59,"tak","nie")</f>
        <v>#REF!</v>
      </c>
      <c r="N61" s="46"/>
      <c r="O61" s="46" t="e">
        <f t="shared" ref="O61:U61" si="16">IF(O56&lt;=O59,"tak","nie")</f>
        <v>#REF!</v>
      </c>
      <c r="P61" s="46" t="e">
        <f t="shared" si="16"/>
        <v>#REF!</v>
      </c>
      <c r="Q61" s="47" t="e">
        <f t="shared" si="16"/>
        <v>#REF!</v>
      </c>
      <c r="R61" s="46" t="str">
        <f t="shared" si="16"/>
        <v>tak</v>
      </c>
      <c r="S61" s="47" t="e">
        <f t="shared" si="16"/>
        <v>#REF!</v>
      </c>
      <c r="T61" s="45" t="e">
        <f t="shared" si="16"/>
        <v>#REF!</v>
      </c>
      <c r="U61" s="108" t="e">
        <f t="shared" si="16"/>
        <v>#REF!</v>
      </c>
      <c r="V61" s="46"/>
      <c r="W61" s="126" t="e">
        <f>IF(W56&lt;=W59,"tak","nie")</f>
        <v>#REF!</v>
      </c>
      <c r="X61" s="46"/>
      <c r="Y61" s="168" t="e">
        <f>IF(Y56&lt;=Y59,"tak","nie")</f>
        <v>#REF!</v>
      </c>
      <c r="Z61" s="45" t="s">
        <v>179</v>
      </c>
      <c r="AA61" s="45" t="s">
        <v>179</v>
      </c>
      <c r="AB61" s="45" t="s">
        <v>179</v>
      </c>
      <c r="AC61" s="45" t="s">
        <v>179</v>
      </c>
      <c r="AD61" s="45" t="s">
        <v>179</v>
      </c>
      <c r="AE61" s="45" t="s">
        <v>179</v>
      </c>
      <c r="AF61" s="45" t="s">
        <v>179</v>
      </c>
      <c r="AG61" s="45" t="s">
        <v>179</v>
      </c>
      <c r="AH61" s="45" t="s">
        <v>179</v>
      </c>
      <c r="AI61" s="45" t="s">
        <v>179</v>
      </c>
      <c r="AJ61" s="45" t="s">
        <v>179</v>
      </c>
      <c r="AK61" s="45" t="s">
        <v>179</v>
      </c>
      <c r="AL61" s="45" t="s">
        <v>179</v>
      </c>
      <c r="AM61" s="45" t="s">
        <v>179</v>
      </c>
      <c r="AN61" s="45" t="s">
        <v>179</v>
      </c>
      <c r="AO61" s="45" t="s">
        <v>179</v>
      </c>
      <c r="AP61" s="45" t="s">
        <v>179</v>
      </c>
      <c r="AQ61" s="45" t="s">
        <v>179</v>
      </c>
      <c r="AR61" s="45" t="s">
        <v>179</v>
      </c>
      <c r="AS61" s="45" t="s">
        <v>179</v>
      </c>
      <c r="AT61" s="45" t="s">
        <v>179</v>
      </c>
      <c r="AU61" s="45" t="s">
        <v>179</v>
      </c>
      <c r="AV61" s="45" t="s">
        <v>179</v>
      </c>
      <c r="AW61" s="45" t="s">
        <v>179</v>
      </c>
      <c r="AX61" s="45" t="s">
        <v>179</v>
      </c>
    </row>
    <row r="62" spans="1:50" s="16" customFormat="1" ht="26.25" customHeight="1" x14ac:dyDescent="0.15">
      <c r="A62" s="195" t="s">
        <v>44</v>
      </c>
      <c r="B62" s="196"/>
      <c r="C62" s="196"/>
      <c r="D62" s="197"/>
      <c r="E62" s="28"/>
      <c r="F62" s="28"/>
      <c r="G62" s="28"/>
      <c r="H62" s="48" t="str">
        <f t="shared" ref="H62:M62" si="17">IF(H26&gt;=0,H26,"0,00")</f>
        <v>0,00</v>
      </c>
      <c r="I62" s="49" t="str">
        <f t="shared" si="17"/>
        <v>0,00</v>
      </c>
      <c r="J62" s="48" t="str">
        <f t="shared" si="17"/>
        <v>0,00</v>
      </c>
      <c r="K62" s="48">
        <f t="shared" si="17"/>
        <v>54170432.569999695</v>
      </c>
      <c r="L62" s="48" t="str">
        <f t="shared" si="17"/>
        <v>0,00</v>
      </c>
      <c r="M62" s="49" t="str">
        <f t="shared" si="17"/>
        <v>0,00</v>
      </c>
      <c r="N62" s="49"/>
      <c r="O62" s="49">
        <f>IF(O26&gt;=0,O26,"0,00")</f>
        <v>29603835.440000057</v>
      </c>
      <c r="P62" s="49" t="str">
        <f>IF(P26&gt;=0,P26,"0,00")</f>
        <v>0,00</v>
      </c>
      <c r="Q62" s="50" t="str">
        <f>IF(Q26&gt;=0,Q26,"0,00")</f>
        <v>0,00</v>
      </c>
      <c r="R62" s="49"/>
      <c r="S62" s="51" t="str">
        <f>IF(S26&gt;=0,S26,"0,00")</f>
        <v>0,00</v>
      </c>
      <c r="T62" s="95"/>
      <c r="U62" s="109"/>
      <c r="V62" s="115"/>
      <c r="W62" s="127"/>
      <c r="X62" s="158"/>
      <c r="Y62" s="177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</row>
    <row r="63" spans="1:50" s="6" customFormat="1" ht="27" customHeight="1" x14ac:dyDescent="0.15">
      <c r="A63" s="136" t="s">
        <v>96</v>
      </c>
      <c r="B63" s="187" t="s">
        <v>36</v>
      </c>
      <c r="C63" s="187"/>
      <c r="D63" s="187"/>
      <c r="E63" s="44"/>
      <c r="F63" s="44"/>
      <c r="G63" s="44"/>
      <c r="H63" s="17"/>
      <c r="I63" s="18"/>
      <c r="J63" s="18"/>
      <c r="K63" s="18"/>
      <c r="L63" s="18"/>
      <c r="M63" s="18"/>
      <c r="N63" s="18"/>
      <c r="O63" s="18"/>
      <c r="P63" s="18"/>
      <c r="Q63" s="19"/>
      <c r="R63" s="18"/>
      <c r="S63" s="20">
        <f>9985725.95+605437.43</f>
        <v>10591163.379999999</v>
      </c>
      <c r="T63" s="18">
        <f>770742.7+8232109.41</f>
        <v>9002852.1099999994</v>
      </c>
      <c r="U63" s="100">
        <f>597361.29+6151474.46</f>
        <v>6748835.75</v>
      </c>
      <c r="V63" s="18">
        <f>383985.07+5709174.36</f>
        <v>6093159.4300000006</v>
      </c>
      <c r="W63" s="119">
        <f>304609.39+4680722.82</f>
        <v>4985332.21</v>
      </c>
      <c r="X63" s="18">
        <f>225006.23+7311260</f>
        <v>7536266.2300000004</v>
      </c>
      <c r="Y63" s="161">
        <f>Y65+162755.07</f>
        <v>5749041.7700000005</v>
      </c>
      <c r="Z63" s="18">
        <v>4466084.29</v>
      </c>
      <c r="AA63" s="18">
        <v>148924.66</v>
      </c>
      <c r="AB63" s="18">
        <v>56523.6</v>
      </c>
      <c r="AC63" s="18">
        <v>102402.44</v>
      </c>
      <c r="AD63" s="18">
        <v>68268.209999999992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17">
        <v>0</v>
      </c>
      <c r="AX63" s="17">
        <v>0</v>
      </c>
    </row>
    <row r="64" spans="1:50" s="6" customFormat="1" ht="32.25" customHeight="1" x14ac:dyDescent="0.15">
      <c r="A64" s="136" t="s">
        <v>97</v>
      </c>
      <c r="B64" s="175"/>
      <c r="C64" s="182" t="s">
        <v>143</v>
      </c>
      <c r="D64" s="183"/>
      <c r="E64" s="44"/>
      <c r="F64" s="44"/>
      <c r="G64" s="44"/>
      <c r="H64" s="17"/>
      <c r="I64" s="91"/>
      <c r="J64" s="17"/>
      <c r="K64" s="111">
        <f>126338.4+3525534.91</f>
        <v>3651873.31</v>
      </c>
      <c r="L64" s="17"/>
      <c r="M64" s="111">
        <f>17798.75+2765036.43</f>
        <v>2782835.18</v>
      </c>
      <c r="N64" s="18"/>
      <c r="O64" s="18">
        <f>166253.21+3597278.51</f>
        <v>3763531.7199999997</v>
      </c>
      <c r="P64" s="18"/>
      <c r="Q64" s="19">
        <f>335622.56+8899569.55</f>
        <v>9235192.1100000013</v>
      </c>
      <c r="R64" s="18">
        <f>632896.51+11311948.36</f>
        <v>11944844.869999999</v>
      </c>
      <c r="S64" s="20">
        <f>9985725.95+605437.43</f>
        <v>10591163.379999999</v>
      </c>
      <c r="T64" s="18">
        <f t="shared" ref="T64" si="18">770742.7+8232109.41</f>
        <v>9002852.1099999994</v>
      </c>
      <c r="U64" s="100">
        <f>597361.29+6151474.46</f>
        <v>6748835.75</v>
      </c>
      <c r="V64" s="18">
        <f>383985.07+5709174.36</f>
        <v>6093159.4300000006</v>
      </c>
      <c r="W64" s="119">
        <f>304609.39+4680722.82</f>
        <v>4985332.21</v>
      </c>
      <c r="X64" s="18">
        <f>225006.23+7311260</f>
        <v>7536266.2300000004</v>
      </c>
      <c r="Y64" s="161">
        <f>Y65+162755.07</f>
        <v>5749041.7700000005</v>
      </c>
      <c r="Z64" s="18">
        <v>4466084.29</v>
      </c>
      <c r="AA64" s="18">
        <v>148924.66</v>
      </c>
      <c r="AB64" s="18">
        <v>56523.6</v>
      </c>
      <c r="AC64" s="18">
        <v>102402.44</v>
      </c>
      <c r="AD64" s="18">
        <v>68268.209999999992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17">
        <v>0</v>
      </c>
      <c r="AX64" s="17">
        <v>0</v>
      </c>
    </row>
    <row r="65" spans="1:50" s="6" customFormat="1" ht="15" customHeight="1" x14ac:dyDescent="0.15">
      <c r="A65" s="136" t="s">
        <v>40</v>
      </c>
      <c r="B65" s="175"/>
      <c r="C65" s="174"/>
      <c r="D65" s="148" t="s">
        <v>24</v>
      </c>
      <c r="E65" s="44"/>
      <c r="F65" s="44"/>
      <c r="G65" s="44"/>
      <c r="H65" s="17"/>
      <c r="I65" s="18"/>
      <c r="J65" s="17"/>
      <c r="K65" s="17"/>
      <c r="L65" s="17"/>
      <c r="M65" s="18"/>
      <c r="N65" s="18"/>
      <c r="O65" s="18">
        <v>3597278.51</v>
      </c>
      <c r="P65" s="18"/>
      <c r="Q65" s="19">
        <v>8899569.5500000007</v>
      </c>
      <c r="R65" s="18">
        <f>11311948.36</f>
        <v>11311948.359999999</v>
      </c>
      <c r="S65" s="20">
        <v>9985725.9499999993</v>
      </c>
      <c r="T65" s="18">
        <f>8232109.41</f>
        <v>8232109.4100000001</v>
      </c>
      <c r="U65" s="100">
        <f>6151474.46</f>
        <v>6151474.46</v>
      </c>
      <c r="V65" s="18">
        <v>5709174.3600000003</v>
      </c>
      <c r="W65" s="119">
        <f>4680722.82</f>
        <v>4680722.82</v>
      </c>
      <c r="X65" s="18">
        <v>7311260</v>
      </c>
      <c r="Y65" s="161">
        <v>5586286.7000000002</v>
      </c>
      <c r="Z65" s="18">
        <v>4316868.33</v>
      </c>
      <c r="AA65" s="18">
        <v>144253.71</v>
      </c>
      <c r="AB65" s="18">
        <v>56523.6</v>
      </c>
      <c r="AC65" s="18">
        <v>102402.44</v>
      </c>
      <c r="AD65" s="18">
        <v>68268.209999999992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17">
        <v>0</v>
      </c>
      <c r="AX65" s="17">
        <v>0</v>
      </c>
    </row>
    <row r="66" spans="1:50" s="6" customFormat="1" ht="24.75" customHeight="1" x14ac:dyDescent="0.15">
      <c r="A66" s="136" t="s">
        <v>98</v>
      </c>
      <c r="B66" s="181" t="s">
        <v>37</v>
      </c>
      <c r="C66" s="182"/>
      <c r="D66" s="183"/>
      <c r="E66" s="44"/>
      <c r="F66" s="44"/>
      <c r="G66" s="44"/>
      <c r="H66" s="17"/>
      <c r="I66" s="18"/>
      <c r="J66" s="17"/>
      <c r="K66" s="17"/>
      <c r="L66" s="17"/>
      <c r="M66" s="18"/>
      <c r="N66" s="18"/>
      <c r="O66" s="18"/>
      <c r="P66" s="18"/>
      <c r="Q66" s="19"/>
      <c r="R66" s="18"/>
      <c r="S66" s="20">
        <f>34338418.57+100774.95</f>
        <v>34439193.520000003</v>
      </c>
      <c r="T66" s="18">
        <f>215392.24+115221008.62</f>
        <v>115436400.86</v>
      </c>
      <c r="U66" s="100">
        <f>127349.49+64233022.99</f>
        <v>64360372.480000004</v>
      </c>
      <c r="V66" s="18">
        <f>60947457.45+30288.18</f>
        <v>60977745.630000003</v>
      </c>
      <c r="W66" s="119">
        <f>87481962.71+30160.81</f>
        <v>87512123.519999996</v>
      </c>
      <c r="X66" s="18">
        <f>2386.78+66766864.23</f>
        <v>66769251.009999998</v>
      </c>
      <c r="Y66" s="161">
        <f>Y68+25530.27</f>
        <v>63876160.620000005</v>
      </c>
      <c r="Z66" s="18">
        <v>42530207.149999999</v>
      </c>
      <c r="AA66" s="18">
        <v>5253759.1399999997</v>
      </c>
      <c r="AB66" s="18">
        <v>0</v>
      </c>
      <c r="AC66" s="18">
        <v>0</v>
      </c>
      <c r="AD66" s="18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</row>
    <row r="67" spans="1:50" s="6" customFormat="1" ht="33" customHeight="1" x14ac:dyDescent="0.15">
      <c r="A67" s="136" t="s">
        <v>99</v>
      </c>
      <c r="B67" s="175"/>
      <c r="C67" s="182" t="s">
        <v>35</v>
      </c>
      <c r="D67" s="183"/>
      <c r="E67" s="44"/>
      <c r="F67" s="44"/>
      <c r="G67" s="44"/>
      <c r="H67" s="17"/>
      <c r="I67" s="18"/>
      <c r="J67" s="17"/>
      <c r="K67" s="17"/>
      <c r="L67" s="17"/>
      <c r="M67" s="18"/>
      <c r="N67" s="18"/>
      <c r="O67" s="18">
        <f>13401.21+16128520.67</f>
        <v>16141921.880000001</v>
      </c>
      <c r="P67" s="18"/>
      <c r="Q67" s="19">
        <f>20504.66+46199474.21</f>
        <v>46219978.869999997</v>
      </c>
      <c r="R67" s="18">
        <f>288640.13+78224196.32</f>
        <v>78512836.449999988</v>
      </c>
      <c r="S67" s="20">
        <f>34338418.57+100774.95</f>
        <v>34439193.520000003</v>
      </c>
      <c r="T67" s="18">
        <f t="shared" ref="T67" si="19">215392.24+115221008.62</f>
        <v>115436400.86</v>
      </c>
      <c r="U67" s="100">
        <f>127349.49+64233022.99</f>
        <v>64360372.480000004</v>
      </c>
      <c r="V67" s="18">
        <f>60947457.45+30288.18</f>
        <v>60977745.630000003</v>
      </c>
      <c r="W67" s="119">
        <f>87481962.71+30160.81</f>
        <v>87512123.519999996</v>
      </c>
      <c r="X67" s="18">
        <f>2386.78+66766864.23</f>
        <v>66769251.009999998</v>
      </c>
      <c r="Y67" s="161">
        <f>Y68+25530.27</f>
        <v>63876160.620000005</v>
      </c>
      <c r="Z67" s="18">
        <v>42530207.149999999</v>
      </c>
      <c r="AA67" s="18">
        <v>5253759.1399999997</v>
      </c>
      <c r="AB67" s="18">
        <v>0</v>
      </c>
      <c r="AC67" s="18">
        <v>0</v>
      </c>
      <c r="AD67" s="18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17">
        <v>0</v>
      </c>
      <c r="AX67" s="17">
        <v>0</v>
      </c>
    </row>
    <row r="68" spans="1:50" s="6" customFormat="1" ht="15" customHeight="1" x14ac:dyDescent="0.15">
      <c r="A68" s="136" t="s">
        <v>41</v>
      </c>
      <c r="B68" s="175"/>
      <c r="C68" s="174"/>
      <c r="D68" s="148" t="s">
        <v>24</v>
      </c>
      <c r="E68" s="44"/>
      <c r="F68" s="44"/>
      <c r="G68" s="44"/>
      <c r="H68" s="17"/>
      <c r="I68" s="18"/>
      <c r="J68" s="17"/>
      <c r="K68" s="17"/>
      <c r="L68" s="17"/>
      <c r="M68" s="18"/>
      <c r="N68" s="18"/>
      <c r="O68" s="18">
        <f>16128520.67</f>
        <v>16128520.67</v>
      </c>
      <c r="P68" s="18"/>
      <c r="Q68" s="19">
        <f>46199474.21</f>
        <v>46199474.210000001</v>
      </c>
      <c r="R68" s="18">
        <v>78224196.319999993</v>
      </c>
      <c r="S68" s="20">
        <v>34338418.57</v>
      </c>
      <c r="T68" s="18">
        <f>115221008.62</f>
        <v>115221008.62</v>
      </c>
      <c r="U68" s="100">
        <f>64233022.9</f>
        <v>64233022.899999999</v>
      </c>
      <c r="V68" s="18">
        <f>60947457.45</f>
        <v>60947457.450000003</v>
      </c>
      <c r="W68" s="119">
        <v>87481962.709999993</v>
      </c>
      <c r="X68" s="18">
        <v>66766864.229999997</v>
      </c>
      <c r="Y68" s="161">
        <v>63850630.350000001</v>
      </c>
      <c r="Z68" s="18">
        <v>42527664.789999999</v>
      </c>
      <c r="AA68" s="18">
        <v>5253759.1399999997</v>
      </c>
      <c r="AB68" s="18">
        <v>0</v>
      </c>
      <c r="AC68" s="18">
        <v>0</v>
      </c>
      <c r="AD68" s="18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</row>
    <row r="69" spans="1:50" s="6" customFormat="1" ht="24" customHeight="1" x14ac:dyDescent="0.15">
      <c r="A69" s="136" t="s">
        <v>100</v>
      </c>
      <c r="B69" s="181" t="s">
        <v>38</v>
      </c>
      <c r="C69" s="182"/>
      <c r="D69" s="183"/>
      <c r="E69" s="44"/>
      <c r="F69" s="44"/>
      <c r="G69" s="44"/>
      <c r="H69" s="17"/>
      <c r="I69" s="18"/>
      <c r="J69" s="17"/>
      <c r="K69" s="17"/>
      <c r="L69" s="17"/>
      <c r="M69" s="18"/>
      <c r="N69" s="18"/>
      <c r="O69" s="18"/>
      <c r="P69" s="18"/>
      <c r="Q69" s="19"/>
      <c r="R69" s="18"/>
      <c r="S69" s="20">
        <f>1564959.18+7751868.19+967100.21</f>
        <v>10283927.580000002</v>
      </c>
      <c r="T69" s="129">
        <f>466717.41+9981885.63+1473814.46</f>
        <v>11922417.5</v>
      </c>
      <c r="U69" s="100">
        <f>111520.57+6314660.89+1035006.58</f>
        <v>7461188.04</v>
      </c>
      <c r="V69" s="18">
        <f>1162486.2+8538718.26+1041829.59</f>
        <v>10743034.049999999</v>
      </c>
      <c r="W69" s="119">
        <f>547987.2+5391667.46+687643.53+47279.13</f>
        <v>6674577.3200000003</v>
      </c>
      <c r="X69" s="18">
        <f>2959117.85+2933.08+5709530.51+808158.23</f>
        <v>9479739.6699999999</v>
      </c>
      <c r="Y69" s="161">
        <v>6177367.3300000001</v>
      </c>
      <c r="Z69" s="18">
        <v>7184192.9100000001</v>
      </c>
      <c r="AA69" s="18">
        <v>335906.3</v>
      </c>
      <c r="AB69" s="18">
        <v>44110.61</v>
      </c>
      <c r="AC69" s="18">
        <v>19259.93</v>
      </c>
      <c r="AD69" s="18">
        <v>19259.79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</row>
    <row r="70" spans="1:50" s="6" customFormat="1" ht="36" customHeight="1" x14ac:dyDescent="0.15">
      <c r="A70" s="136" t="s">
        <v>101</v>
      </c>
      <c r="B70" s="175"/>
      <c r="C70" s="182" t="s">
        <v>25</v>
      </c>
      <c r="D70" s="183"/>
      <c r="E70" s="44"/>
      <c r="F70" s="44"/>
      <c r="G70" s="44"/>
      <c r="H70" s="17"/>
      <c r="I70" s="91"/>
      <c r="J70" s="17"/>
      <c r="K70" s="111">
        <f>642821.64+2832724.61+263583.59</f>
        <v>3739129.84</v>
      </c>
      <c r="L70" s="17"/>
      <c r="M70" s="111">
        <f>945879.02+1209171.33+25616.6+290201.13</f>
        <v>2470868.08</v>
      </c>
      <c r="N70" s="18"/>
      <c r="O70" s="18">
        <f>905645.49+3359422.88+589115.09</f>
        <v>4854183.46</v>
      </c>
      <c r="P70" s="18"/>
      <c r="Q70" s="19">
        <f>622795.37+4574139.46+614465.15</f>
        <v>5811399.9800000004</v>
      </c>
      <c r="R70" s="18">
        <f>1695543.56+11588227.48+1571910.88</f>
        <v>14855681.920000002</v>
      </c>
      <c r="S70" s="20">
        <f>1564959.18+7751868.19+967100.21</f>
        <v>10283927.580000002</v>
      </c>
      <c r="T70" s="129">
        <f>466717.41+9981885.63+1473814.46</f>
        <v>11922417.5</v>
      </c>
      <c r="U70" s="100">
        <f>111520.57+6314660.89+1035006.58</f>
        <v>7461188.04</v>
      </c>
      <c r="V70" s="18">
        <f>1162486.2+8538718.26+1041829.59</f>
        <v>10743034.049999999</v>
      </c>
      <c r="W70" s="119">
        <f>547987.2+5391667.46+687643.53+47279.13</f>
        <v>6674577.3200000003</v>
      </c>
      <c r="X70" s="18">
        <f>2959117.85+5709530.51+808158.28</f>
        <v>9476806.6399999987</v>
      </c>
      <c r="Y70" s="161">
        <v>6177367.3300000001</v>
      </c>
      <c r="Z70" s="18">
        <v>7184192.9100000001</v>
      </c>
      <c r="AA70" s="18">
        <v>335906.3</v>
      </c>
      <c r="AB70" s="18">
        <v>44110.61</v>
      </c>
      <c r="AC70" s="18">
        <v>19259.93</v>
      </c>
      <c r="AD70" s="18">
        <v>19259.79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</row>
    <row r="71" spans="1:50" s="6" customFormat="1" ht="23.25" customHeight="1" x14ac:dyDescent="0.15">
      <c r="A71" s="136" t="s">
        <v>42</v>
      </c>
      <c r="B71" s="175"/>
      <c r="C71" s="174"/>
      <c r="D71" s="173" t="s">
        <v>26</v>
      </c>
      <c r="E71" s="44"/>
      <c r="F71" s="44"/>
      <c r="G71" s="44"/>
      <c r="H71" s="17"/>
      <c r="I71" s="18"/>
      <c r="J71" s="17"/>
      <c r="K71" s="17"/>
      <c r="L71" s="17"/>
      <c r="M71" s="18"/>
      <c r="N71" s="18"/>
      <c r="O71" s="18">
        <f>4265068.37</f>
        <v>4265068.37</v>
      </c>
      <c r="P71" s="18"/>
      <c r="Q71" s="19">
        <f>622795.37+4574139.46</f>
        <v>5196934.83</v>
      </c>
      <c r="R71" s="18">
        <f>13283771.04</f>
        <v>13283771.039999999</v>
      </c>
      <c r="S71" s="20">
        <f>1564959.18+7751868.19</f>
        <v>9316827.370000001</v>
      </c>
      <c r="T71" s="129">
        <f>466717.41+9981855.63</f>
        <v>10448573.040000001</v>
      </c>
      <c r="U71" s="100">
        <f>111520.57+6314660.89</f>
        <v>6426181.46</v>
      </c>
      <c r="V71" s="18">
        <f>1162486.2+8538718.26</f>
        <v>9701204.459999999</v>
      </c>
      <c r="W71" s="119">
        <f>547987.2+5391667.46</f>
        <v>5939654.6600000001</v>
      </c>
      <c r="X71" s="18">
        <f>2959117.85+5709530.51</f>
        <v>8668648.3599999994</v>
      </c>
      <c r="Y71" s="161">
        <v>5493876.8899999997</v>
      </c>
      <c r="Z71" s="18">
        <v>6636675</v>
      </c>
      <c r="AA71" s="18">
        <v>325565.62</v>
      </c>
      <c r="AB71" s="18">
        <v>41903.019999999997</v>
      </c>
      <c r="AC71" s="18">
        <v>18296.830000000002</v>
      </c>
      <c r="AD71" s="18">
        <v>18296.740000000002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17">
        <v>0</v>
      </c>
      <c r="AX71" s="17">
        <v>0</v>
      </c>
    </row>
    <row r="72" spans="1:50" s="6" customFormat="1" ht="24.75" customHeight="1" x14ac:dyDescent="0.15">
      <c r="A72" s="136" t="s">
        <v>102</v>
      </c>
      <c r="B72" s="181" t="s">
        <v>39</v>
      </c>
      <c r="C72" s="182"/>
      <c r="D72" s="183"/>
      <c r="E72" s="44"/>
      <c r="F72" s="44"/>
      <c r="G72" s="44"/>
      <c r="H72" s="17"/>
      <c r="I72" s="18"/>
      <c r="J72" s="17"/>
      <c r="K72" s="17"/>
      <c r="L72" s="17"/>
      <c r="M72" s="18"/>
      <c r="N72" s="18"/>
      <c r="O72" s="18"/>
      <c r="P72" s="18"/>
      <c r="Q72" s="19"/>
      <c r="R72" s="18"/>
      <c r="S72" s="20">
        <f>56277013.43+10081136.32</f>
        <v>66358149.75</v>
      </c>
      <c r="T72" s="129">
        <f>85791785.72+67500+21522401.21</f>
        <v>107381686.93000001</v>
      </c>
      <c r="U72" s="100">
        <f>48749105.96+64879.5+9917185.13</f>
        <v>58731170.590000004</v>
      </c>
      <c r="V72" s="18">
        <f>106843529.73+23204535.07+20748839.68</f>
        <v>150796904.48000002</v>
      </c>
      <c r="W72" s="119">
        <f>92026369.08+20136774.24+16616364.12</f>
        <v>128779507.44</v>
      </c>
      <c r="X72" s="18">
        <f>61201901.44+26581648.91</f>
        <v>87783550.349999994</v>
      </c>
      <c r="Y72" s="161">
        <f>126000027.29-48339286.27</f>
        <v>77660741.020000011</v>
      </c>
      <c r="Z72" s="18">
        <v>42068386.600000001</v>
      </c>
      <c r="AA72" s="18">
        <v>0</v>
      </c>
      <c r="AB72" s="18">
        <v>0</v>
      </c>
      <c r="AC72" s="18">
        <v>0</v>
      </c>
      <c r="AD72" s="18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17">
        <v>0</v>
      </c>
      <c r="AX72" s="17">
        <v>0</v>
      </c>
    </row>
    <row r="73" spans="1:50" s="6" customFormat="1" ht="33.75" customHeight="1" x14ac:dyDescent="0.15">
      <c r="A73" s="136" t="s">
        <v>103</v>
      </c>
      <c r="B73" s="175"/>
      <c r="C73" s="182" t="s">
        <v>27</v>
      </c>
      <c r="D73" s="183"/>
      <c r="E73" s="44"/>
      <c r="F73" s="44"/>
      <c r="G73" s="44"/>
      <c r="H73" s="17"/>
      <c r="I73" s="18"/>
      <c r="J73" s="18"/>
      <c r="K73" s="18"/>
      <c r="L73" s="18"/>
      <c r="M73" s="18"/>
      <c r="N73" s="18"/>
      <c r="O73" s="18">
        <f>8077359.89+12232.35+1422521.37</f>
        <v>9512113.6099999994</v>
      </c>
      <c r="P73" s="18"/>
      <c r="Q73" s="19">
        <f>41053842.32+8166175.01</f>
        <v>49220017.329999998</v>
      </c>
      <c r="R73" s="18">
        <f>71310411.53+12674128.54</f>
        <v>83984540.069999993</v>
      </c>
      <c r="S73" s="20">
        <f>56277013.43+10081136.32</f>
        <v>66358149.75</v>
      </c>
      <c r="T73" s="129">
        <f t="shared" ref="T73" si="20">85791785.72+67500+21522401.21</f>
        <v>107381686.93000001</v>
      </c>
      <c r="U73" s="100">
        <f>48749105.96+64879.5+9917185.13</f>
        <v>58731170.590000004</v>
      </c>
      <c r="V73" s="18">
        <f>106843529.73+23204535.07</f>
        <v>130048064.80000001</v>
      </c>
      <c r="W73" s="119">
        <f>92026369.08+20136774.24+16616364.12</f>
        <v>128779507.44</v>
      </c>
      <c r="X73" s="18">
        <f>61201901.44+26581648.91</f>
        <v>87783550.349999994</v>
      </c>
      <c r="Y73" s="161">
        <f>126000027.29-48339286.27</f>
        <v>77660741.020000011</v>
      </c>
      <c r="Z73" s="18">
        <v>42068386.600000001</v>
      </c>
      <c r="AA73" s="18">
        <v>0</v>
      </c>
      <c r="AB73" s="18">
        <v>0</v>
      </c>
      <c r="AC73" s="18">
        <v>0</v>
      </c>
      <c r="AD73" s="18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17">
        <v>0</v>
      </c>
      <c r="AX73" s="17">
        <v>0</v>
      </c>
    </row>
    <row r="74" spans="1:50" s="6" customFormat="1" ht="25.5" customHeight="1" x14ac:dyDescent="0.15">
      <c r="A74" s="149" t="s">
        <v>43</v>
      </c>
      <c r="B74" s="175"/>
      <c r="C74" s="174"/>
      <c r="D74" s="173" t="s">
        <v>26</v>
      </c>
      <c r="E74" s="44"/>
      <c r="F74" s="44"/>
      <c r="G74" s="44"/>
      <c r="H74" s="52"/>
      <c r="I74" s="53"/>
      <c r="J74" s="53"/>
      <c r="K74" s="53"/>
      <c r="L74" s="53"/>
      <c r="M74" s="53"/>
      <c r="N74" s="53"/>
      <c r="O74" s="53">
        <f>8089592.24</f>
        <v>8089592.2400000002</v>
      </c>
      <c r="P74" s="53"/>
      <c r="Q74" s="54">
        <v>41053842.32</v>
      </c>
      <c r="R74" s="53">
        <f>71310411.53</f>
        <v>71310411.530000001</v>
      </c>
      <c r="S74" s="20">
        <v>56277013.43</v>
      </c>
      <c r="T74" s="129">
        <f>85791785.72+67500</f>
        <v>85859285.719999999</v>
      </c>
      <c r="U74" s="100">
        <f>48749105.96+64879.5</f>
        <v>48813985.460000001</v>
      </c>
      <c r="V74" s="18">
        <f>106843529.73</f>
        <v>106843529.73</v>
      </c>
      <c r="W74" s="119">
        <f>92026369.08</f>
        <v>92026369.079999998</v>
      </c>
      <c r="X74" s="18">
        <v>61201901.439999998</v>
      </c>
      <c r="Y74" s="161">
        <v>53786447.810000002</v>
      </c>
      <c r="Z74" s="18">
        <v>27507342.059999999</v>
      </c>
      <c r="AA74" s="18">
        <v>0</v>
      </c>
      <c r="AB74" s="18">
        <v>0</v>
      </c>
      <c r="AC74" s="18">
        <v>0</v>
      </c>
      <c r="AD74" s="18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17">
        <v>0</v>
      </c>
      <c r="AX74" s="17">
        <v>0</v>
      </c>
    </row>
    <row r="75" spans="1:50" s="16" customFormat="1" ht="15" customHeight="1" x14ac:dyDescent="0.15">
      <c r="A75" s="141" t="s">
        <v>45</v>
      </c>
      <c r="B75" s="141"/>
      <c r="C75" s="141"/>
      <c r="D75" s="141"/>
      <c r="E75" s="28"/>
      <c r="F75" s="28"/>
      <c r="G75" s="28"/>
      <c r="H75" s="29"/>
      <c r="I75" s="31"/>
      <c r="J75" s="31"/>
      <c r="K75" s="31"/>
      <c r="L75" s="31"/>
      <c r="M75" s="31"/>
      <c r="N75" s="31"/>
      <c r="O75" s="31"/>
      <c r="P75" s="30"/>
      <c r="Q75" s="31"/>
      <c r="R75" s="31"/>
      <c r="S75" s="32"/>
      <c r="T75" s="30"/>
      <c r="U75" s="103"/>
      <c r="V75" s="113"/>
      <c r="W75" s="121"/>
      <c r="X75" s="156"/>
      <c r="Y75" s="16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</row>
    <row r="76" spans="1:50" s="6" customFormat="1" ht="28.5" customHeight="1" x14ac:dyDescent="0.2">
      <c r="A76" s="136" t="s">
        <v>104</v>
      </c>
      <c r="B76" s="181" t="s">
        <v>46</v>
      </c>
      <c r="C76" s="200"/>
      <c r="D76" s="201"/>
      <c r="E76" s="44"/>
      <c r="F76" s="44"/>
      <c r="G76" s="44"/>
      <c r="H76" s="17"/>
      <c r="I76" s="18"/>
      <c r="J76" s="18">
        <f>J77+J78</f>
        <v>0</v>
      </c>
      <c r="K76" s="18"/>
      <c r="L76" s="18"/>
      <c r="M76" s="18"/>
      <c r="N76" s="18"/>
      <c r="O76" s="18"/>
      <c r="P76" s="18"/>
      <c r="Q76" s="19"/>
      <c r="R76" s="18"/>
      <c r="S76" s="20"/>
      <c r="T76" s="18"/>
      <c r="U76" s="100">
        <f>U77+U78</f>
        <v>0</v>
      </c>
      <c r="V76" s="18"/>
      <c r="W76" s="119"/>
      <c r="X76" s="18">
        <f t="shared" ref="X76:Y76" si="21">X77+X78</f>
        <v>418262425.22000003</v>
      </c>
      <c r="Y76" s="178">
        <f t="shared" si="21"/>
        <v>311346383.5</v>
      </c>
      <c r="Z76" s="18">
        <v>305794931.13</v>
      </c>
      <c r="AA76" s="18">
        <v>344502739.13999999</v>
      </c>
      <c r="AB76" s="18">
        <v>413315028.68000001</v>
      </c>
      <c r="AC76" s="18">
        <v>105926169.06999999</v>
      </c>
      <c r="AD76" s="18">
        <v>17699214.789999999</v>
      </c>
      <c r="AE76" s="18">
        <v>5129560</v>
      </c>
      <c r="AF76" s="18">
        <v>89193</v>
      </c>
      <c r="AG76" s="18">
        <v>70459</v>
      </c>
      <c r="AH76" s="18">
        <v>68623</v>
      </c>
      <c r="AI76" s="18">
        <v>68657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</row>
    <row r="77" spans="1:50" s="6" customFormat="1" ht="15" customHeight="1" x14ac:dyDescent="0.15">
      <c r="A77" s="136" t="s">
        <v>105</v>
      </c>
      <c r="B77" s="137"/>
      <c r="C77" s="198" t="s">
        <v>7</v>
      </c>
      <c r="D77" s="199"/>
      <c r="E77" s="44"/>
      <c r="F77" s="44"/>
      <c r="G77" s="44"/>
      <c r="H77" s="17"/>
      <c r="I77" s="18"/>
      <c r="J77" s="17"/>
      <c r="K77" s="17"/>
      <c r="L77" s="17"/>
      <c r="M77" s="18"/>
      <c r="N77" s="18"/>
      <c r="O77" s="18"/>
      <c r="P77" s="18"/>
      <c r="Q77" s="19"/>
      <c r="R77" s="18"/>
      <c r="S77" s="20"/>
      <c r="T77" s="18"/>
      <c r="U77" s="100"/>
      <c r="V77" s="18"/>
      <c r="W77" s="119"/>
      <c r="X77" s="18">
        <v>35227226.969999999</v>
      </c>
      <c r="Y77" s="178">
        <v>30839856.370000001</v>
      </c>
      <c r="Z77" s="18">
        <v>32429865.710000001</v>
      </c>
      <c r="AA77" s="18">
        <v>24096414.510000002</v>
      </c>
      <c r="AB77" s="18">
        <v>18769722.609999999</v>
      </c>
      <c r="AC77" s="18">
        <v>18578339.399999999</v>
      </c>
      <c r="AD77" s="18">
        <v>3081579.79</v>
      </c>
      <c r="AE77" s="18">
        <v>129560</v>
      </c>
      <c r="AF77" s="18">
        <v>89193</v>
      </c>
      <c r="AG77" s="18">
        <v>70459</v>
      </c>
      <c r="AH77" s="18">
        <v>68623</v>
      </c>
      <c r="AI77" s="18">
        <v>68657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</row>
    <row r="78" spans="1:50" s="6" customFormat="1" ht="15" customHeight="1" x14ac:dyDescent="0.15">
      <c r="A78" s="136" t="s">
        <v>106</v>
      </c>
      <c r="B78" s="137"/>
      <c r="C78" s="139" t="s">
        <v>8</v>
      </c>
      <c r="D78" s="138"/>
      <c r="E78" s="44"/>
      <c r="F78" s="44"/>
      <c r="G78" s="44"/>
      <c r="H78" s="17"/>
      <c r="I78" s="18"/>
      <c r="J78" s="17"/>
      <c r="K78" s="17"/>
      <c r="L78" s="17"/>
      <c r="M78" s="18"/>
      <c r="N78" s="18"/>
      <c r="O78" s="18"/>
      <c r="P78" s="18"/>
      <c r="Q78" s="19"/>
      <c r="R78" s="18"/>
      <c r="S78" s="20"/>
      <c r="T78" s="18"/>
      <c r="U78" s="100"/>
      <c r="V78" s="18"/>
      <c r="W78" s="119"/>
      <c r="X78" s="18">
        <v>383035198.25</v>
      </c>
      <c r="Y78" s="178">
        <v>280506527.13</v>
      </c>
      <c r="Z78" s="18">
        <v>273365065.42000002</v>
      </c>
      <c r="AA78" s="18">
        <v>320406324.63</v>
      </c>
      <c r="AB78" s="18">
        <v>394545306.06999999</v>
      </c>
      <c r="AC78" s="18">
        <v>87347829.670000002</v>
      </c>
      <c r="AD78" s="18">
        <v>14617635</v>
      </c>
      <c r="AE78" s="18">
        <v>5000000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</row>
    <row r="79" spans="1:50" s="6" customFormat="1" ht="24.75" customHeight="1" x14ac:dyDescent="0.15">
      <c r="A79" s="136" t="s">
        <v>107</v>
      </c>
      <c r="B79" s="181" t="s">
        <v>10</v>
      </c>
      <c r="C79" s="182"/>
      <c r="D79" s="183"/>
      <c r="E79" s="44"/>
      <c r="F79" s="44"/>
      <c r="G79" s="44"/>
      <c r="H79" s="17">
        <v>0</v>
      </c>
      <c r="I79" s="18">
        <v>0</v>
      </c>
      <c r="J79" s="17">
        <v>0</v>
      </c>
      <c r="K79" s="17"/>
      <c r="L79" s="17"/>
      <c r="M79" s="18">
        <v>0</v>
      </c>
      <c r="N79" s="18"/>
      <c r="O79" s="18">
        <v>0</v>
      </c>
      <c r="P79" s="18">
        <v>0</v>
      </c>
      <c r="Q79" s="19">
        <v>0</v>
      </c>
      <c r="R79" s="18"/>
      <c r="S79" s="20">
        <v>0</v>
      </c>
      <c r="T79" s="18"/>
      <c r="U79" s="100">
        <v>0</v>
      </c>
      <c r="V79" s="18"/>
      <c r="W79" s="119">
        <v>0</v>
      </c>
      <c r="X79" s="18">
        <v>0</v>
      </c>
      <c r="Y79" s="161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</row>
    <row r="80" spans="1:50" s="6" customFormat="1" ht="24.75" customHeight="1" x14ac:dyDescent="0.15">
      <c r="A80" s="136" t="s">
        <v>108</v>
      </c>
      <c r="B80" s="184" t="s">
        <v>28</v>
      </c>
      <c r="C80" s="185"/>
      <c r="D80" s="186"/>
      <c r="E80" s="44"/>
      <c r="F80" s="44"/>
      <c r="G80" s="44"/>
      <c r="H80" s="17"/>
      <c r="I80" s="18"/>
      <c r="J80" s="17"/>
      <c r="K80" s="17"/>
      <c r="L80" s="17"/>
      <c r="M80" s="18"/>
      <c r="N80" s="18"/>
      <c r="O80" s="18"/>
      <c r="P80" s="18"/>
      <c r="Q80" s="19"/>
      <c r="R80" s="18"/>
      <c r="S80" s="20"/>
      <c r="T80" s="18"/>
      <c r="U80" s="100">
        <v>0</v>
      </c>
      <c r="V80" s="18"/>
      <c r="W80" s="119">
        <v>0</v>
      </c>
      <c r="X80" s="18">
        <v>0</v>
      </c>
      <c r="Y80" s="161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</row>
    <row r="81" spans="1:50" s="6" customFormat="1" ht="37.5" customHeight="1" x14ac:dyDescent="0.15">
      <c r="A81" s="136" t="s">
        <v>109</v>
      </c>
      <c r="B81" s="184" t="s">
        <v>144</v>
      </c>
      <c r="C81" s="185"/>
      <c r="D81" s="186"/>
      <c r="E81" s="44"/>
      <c r="F81" s="44"/>
      <c r="G81" s="44"/>
      <c r="H81" s="17"/>
      <c r="I81" s="18"/>
      <c r="J81" s="17"/>
      <c r="K81" s="17"/>
      <c r="L81" s="17"/>
      <c r="M81" s="18"/>
      <c r="N81" s="18"/>
      <c r="O81" s="18"/>
      <c r="P81" s="18"/>
      <c r="Q81" s="19"/>
      <c r="R81" s="18"/>
      <c r="S81" s="20"/>
      <c r="T81" s="18"/>
      <c r="U81" s="100">
        <v>0</v>
      </c>
      <c r="V81" s="18"/>
      <c r="W81" s="119">
        <v>0</v>
      </c>
      <c r="X81" s="18">
        <v>0</v>
      </c>
      <c r="Y81" s="161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</row>
    <row r="82" spans="1:50" s="6" customFormat="1" ht="35.25" customHeight="1" x14ac:dyDescent="0.15">
      <c r="A82" s="136" t="s">
        <v>110</v>
      </c>
      <c r="B82" s="181" t="s">
        <v>29</v>
      </c>
      <c r="C82" s="182"/>
      <c r="D82" s="183"/>
      <c r="E82" s="18">
        <v>7248770.0300000003</v>
      </c>
      <c r="F82" s="18" t="e">
        <f>E82-#REF!</f>
        <v>#REF!</v>
      </c>
      <c r="G82" s="18" t="e">
        <f>F82-#REF!</f>
        <v>#REF!</v>
      </c>
      <c r="H82" s="18"/>
      <c r="I82" s="18" t="e">
        <f>G82-#REF!</f>
        <v>#REF!</v>
      </c>
      <c r="J82" s="17" t="e">
        <f>I82-#REF!</f>
        <v>#REF!</v>
      </c>
      <c r="K82" s="17">
        <v>1012202</v>
      </c>
      <c r="L82" s="17">
        <v>0</v>
      </c>
      <c r="M82" s="18" t="e">
        <f>J82-#REF!</f>
        <v>#REF!</v>
      </c>
      <c r="N82" s="18"/>
      <c r="O82" s="18">
        <v>0</v>
      </c>
      <c r="P82" s="18">
        <v>0</v>
      </c>
      <c r="Q82" s="19">
        <v>0</v>
      </c>
      <c r="R82" s="18"/>
      <c r="S82" s="20">
        <v>0</v>
      </c>
      <c r="T82" s="18"/>
      <c r="U82" s="100">
        <v>0</v>
      </c>
      <c r="V82" s="18"/>
      <c r="W82" s="119">
        <v>0</v>
      </c>
      <c r="X82" s="18">
        <v>0</v>
      </c>
      <c r="Y82" s="161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</row>
    <row r="83" spans="1:50" s="6" customFormat="1" ht="24.75" customHeight="1" x14ac:dyDescent="0.15">
      <c r="A83" s="136" t="s">
        <v>111</v>
      </c>
      <c r="B83" s="181" t="s">
        <v>145</v>
      </c>
      <c r="C83" s="182"/>
      <c r="D83" s="183"/>
      <c r="E83" s="44" t="e">
        <f>#REF!+#REF!+#REF!+#REF!</f>
        <v>#REF!</v>
      </c>
      <c r="F83" s="44" t="e">
        <f>#REF!+#REF!+#REF!+#REF!</f>
        <v>#REF!</v>
      </c>
      <c r="G83" s="44" t="e">
        <f>#REF!+#REF!+#REF!+#REF!</f>
        <v>#REF!</v>
      </c>
      <c r="H83" s="17" t="e">
        <f>#REF!+#REF!+#REF!+#REF!+#REF!</f>
        <v>#REF!</v>
      </c>
      <c r="I83" s="18" t="e">
        <f>#REF!+#REF!+#REF!+#REF!+#REF!</f>
        <v>#REF!</v>
      </c>
      <c r="J83" s="17" t="e">
        <f>#REF!+#REF!+#REF!+#REF!+#REF!</f>
        <v>#REF!</v>
      </c>
      <c r="K83" s="17"/>
      <c r="L83" s="17"/>
      <c r="M83" s="18" t="e">
        <f>#REF!+#REF!+#REF!+#REF!+#REF!</f>
        <v>#REF!</v>
      </c>
      <c r="N83" s="18"/>
      <c r="O83" s="18"/>
      <c r="P83" s="18"/>
      <c r="Q83" s="19"/>
      <c r="R83" s="18"/>
      <c r="S83" s="20" t="e">
        <f>#REF!+#REF!+#REF!+#REF!+#REF!+#REF!</f>
        <v>#REF!</v>
      </c>
      <c r="T83" s="18"/>
      <c r="U83" s="100" t="e">
        <f>#REF!+#REF!+#REF!+#REF!+#REF!+#REF!+#REF!+#REF!+#REF!+#REF!+#REF!+#REF!+#REF!</f>
        <v>#REF!</v>
      </c>
      <c r="V83" s="18"/>
      <c r="W83" s="119" t="e">
        <f>#REF!+#REF!+#REF!+#REF!+#REF!+#REF!+#REF!+#REF!+#REF!+#REF!+#REF!+#REF!+#REF!</f>
        <v>#REF!</v>
      </c>
      <c r="X83" s="18"/>
      <c r="Y83" s="161" t="e">
        <f>#REF!+#REF!+#REF!+#REF!+#REF!+#REF!+#REF!+#REF!+#REF!+#REF!+#REF!+#REF!+#REF!</f>
        <v>#REF!</v>
      </c>
      <c r="Z83" s="18">
        <v>48150181.579999998</v>
      </c>
      <c r="AA83" s="18">
        <v>48125667.200000003</v>
      </c>
      <c r="AB83" s="18">
        <v>48125667.200000003</v>
      </c>
      <c r="AC83" s="18">
        <v>48125667.200000003</v>
      </c>
      <c r="AD83" s="18">
        <v>48125667.200000003</v>
      </c>
      <c r="AE83" s="18">
        <v>48125667.089999996</v>
      </c>
      <c r="AF83" s="18">
        <v>46809340.640000001</v>
      </c>
      <c r="AG83" s="18">
        <v>46809340.640000001</v>
      </c>
      <c r="AH83" s="18">
        <v>29709340.640000001</v>
      </c>
      <c r="AI83" s="18">
        <v>26109340.640000001</v>
      </c>
      <c r="AJ83" s="18">
        <v>12118269.380000001</v>
      </c>
      <c r="AK83" s="18">
        <v>8949450.620000001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</row>
    <row r="84" spans="1:50" s="6" customFormat="1" ht="15" customHeight="1" x14ac:dyDescent="0.15">
      <c r="A84" s="136" t="s">
        <v>112</v>
      </c>
      <c r="B84" s="137" t="s">
        <v>146</v>
      </c>
      <c r="C84" s="139"/>
      <c r="D84" s="138"/>
      <c r="E84" s="44"/>
      <c r="F84" s="44"/>
      <c r="G84" s="44"/>
      <c r="H84" s="17">
        <v>0</v>
      </c>
      <c r="I84" s="18">
        <v>0</v>
      </c>
      <c r="J84" s="17">
        <v>0</v>
      </c>
      <c r="K84" s="17"/>
      <c r="L84" s="17"/>
      <c r="M84" s="18">
        <v>0</v>
      </c>
      <c r="N84" s="18"/>
      <c r="O84" s="18">
        <v>0</v>
      </c>
      <c r="P84" s="18">
        <v>0</v>
      </c>
      <c r="Q84" s="19">
        <v>0</v>
      </c>
      <c r="R84" s="18"/>
      <c r="S84" s="20">
        <v>0</v>
      </c>
      <c r="T84" s="18"/>
      <c r="U84" s="100">
        <v>0</v>
      </c>
      <c r="V84" s="18"/>
      <c r="W84" s="119">
        <v>0</v>
      </c>
      <c r="X84" s="18"/>
      <c r="Y84" s="161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17">
        <v>0</v>
      </c>
      <c r="AX84" s="17">
        <v>0</v>
      </c>
    </row>
    <row r="85" spans="1:50" s="6" customFormat="1" ht="24" customHeight="1" x14ac:dyDescent="0.15">
      <c r="A85" s="136" t="s">
        <v>113</v>
      </c>
      <c r="B85" s="137"/>
      <c r="C85" s="182" t="s">
        <v>147</v>
      </c>
      <c r="D85" s="183"/>
      <c r="E85" s="44"/>
      <c r="F85" s="44"/>
      <c r="G85" s="44"/>
      <c r="H85" s="17">
        <v>0</v>
      </c>
      <c r="I85" s="18">
        <v>0</v>
      </c>
      <c r="J85" s="17">
        <v>0</v>
      </c>
      <c r="K85" s="17"/>
      <c r="L85" s="17"/>
      <c r="M85" s="18">
        <v>0</v>
      </c>
      <c r="N85" s="18"/>
      <c r="O85" s="18">
        <v>0</v>
      </c>
      <c r="P85" s="18">
        <v>0</v>
      </c>
      <c r="Q85" s="19">
        <v>0</v>
      </c>
      <c r="R85" s="18"/>
      <c r="S85" s="20">
        <v>0</v>
      </c>
      <c r="T85" s="18"/>
      <c r="U85" s="100">
        <v>0</v>
      </c>
      <c r="V85" s="18"/>
      <c r="W85" s="119">
        <v>0</v>
      </c>
      <c r="X85" s="18"/>
      <c r="Y85" s="161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17">
        <v>0</v>
      </c>
      <c r="AX85" s="17">
        <v>0</v>
      </c>
    </row>
    <row r="86" spans="1:50" s="6" customFormat="1" ht="27" customHeight="1" x14ac:dyDescent="0.15">
      <c r="A86" s="136" t="s">
        <v>114</v>
      </c>
      <c r="B86" s="137"/>
      <c r="C86" s="182" t="s">
        <v>148</v>
      </c>
      <c r="D86" s="183"/>
      <c r="E86" s="44"/>
      <c r="F86" s="44"/>
      <c r="G86" s="44"/>
      <c r="H86" s="17">
        <v>0</v>
      </c>
      <c r="I86" s="18">
        <v>0</v>
      </c>
      <c r="J86" s="17">
        <v>0</v>
      </c>
      <c r="K86" s="17"/>
      <c r="L86" s="17"/>
      <c r="M86" s="18">
        <v>0</v>
      </c>
      <c r="N86" s="18"/>
      <c r="O86" s="18">
        <v>0</v>
      </c>
      <c r="P86" s="18">
        <v>0</v>
      </c>
      <c r="Q86" s="19">
        <v>0</v>
      </c>
      <c r="R86" s="18"/>
      <c r="S86" s="20">
        <v>0</v>
      </c>
      <c r="T86" s="18"/>
      <c r="U86" s="100">
        <v>0</v>
      </c>
      <c r="V86" s="18"/>
      <c r="W86" s="119">
        <v>0</v>
      </c>
      <c r="X86" s="18"/>
      <c r="Y86" s="161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17">
        <v>0</v>
      </c>
      <c r="AX86" s="17">
        <v>0</v>
      </c>
    </row>
    <row r="87" spans="1:50" s="6" customFormat="1" ht="26.25" customHeight="1" x14ac:dyDescent="0.15">
      <c r="A87" s="136" t="s">
        <v>115</v>
      </c>
      <c r="B87" s="137"/>
      <c r="C87" s="172"/>
      <c r="D87" s="173" t="s">
        <v>149</v>
      </c>
      <c r="E87" s="44"/>
      <c r="F87" s="44"/>
      <c r="G87" s="44"/>
      <c r="H87" s="17"/>
      <c r="I87" s="18"/>
      <c r="J87" s="17"/>
      <c r="K87" s="17"/>
      <c r="L87" s="17"/>
      <c r="M87" s="18"/>
      <c r="N87" s="18"/>
      <c r="O87" s="18"/>
      <c r="P87" s="18"/>
      <c r="Q87" s="19"/>
      <c r="R87" s="18"/>
      <c r="S87" s="20"/>
      <c r="T87" s="18"/>
      <c r="U87" s="100">
        <v>0</v>
      </c>
      <c r="V87" s="18"/>
      <c r="W87" s="119">
        <v>0</v>
      </c>
      <c r="X87" s="18"/>
      <c r="Y87" s="161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17">
        <v>0</v>
      </c>
      <c r="AX87" s="17">
        <v>0</v>
      </c>
    </row>
    <row r="88" spans="1:50" s="6" customFormat="1" ht="15" customHeight="1" x14ac:dyDescent="0.15">
      <c r="A88" s="136" t="s">
        <v>116</v>
      </c>
      <c r="B88" s="137"/>
      <c r="C88" s="172"/>
      <c r="D88" s="173" t="s">
        <v>150</v>
      </c>
      <c r="E88" s="44"/>
      <c r="F88" s="44"/>
      <c r="G88" s="44"/>
      <c r="H88" s="17"/>
      <c r="I88" s="18"/>
      <c r="J88" s="17"/>
      <c r="K88" s="17"/>
      <c r="L88" s="17"/>
      <c r="M88" s="18"/>
      <c r="N88" s="18"/>
      <c r="O88" s="18"/>
      <c r="P88" s="18"/>
      <c r="Q88" s="19"/>
      <c r="R88" s="18"/>
      <c r="S88" s="20"/>
      <c r="T88" s="18"/>
      <c r="U88" s="100">
        <v>0</v>
      </c>
      <c r="V88" s="18"/>
      <c r="W88" s="119">
        <v>0</v>
      </c>
      <c r="X88" s="18"/>
      <c r="Y88" s="161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17">
        <v>0</v>
      </c>
      <c r="AX88" s="17">
        <v>0</v>
      </c>
    </row>
    <row r="89" spans="1:50" s="6" customFormat="1" ht="15" customHeight="1" x14ac:dyDescent="0.15">
      <c r="A89" s="150" t="s">
        <v>117</v>
      </c>
      <c r="B89" s="151"/>
      <c r="C89" s="152" t="s">
        <v>151</v>
      </c>
      <c r="D89" s="153"/>
      <c r="E89" s="86"/>
      <c r="F89" s="86"/>
      <c r="G89" s="86"/>
      <c r="H89" s="87">
        <v>0</v>
      </c>
      <c r="I89" s="88">
        <v>0</v>
      </c>
      <c r="J89" s="87">
        <v>0</v>
      </c>
      <c r="K89" s="87"/>
      <c r="L89" s="87"/>
      <c r="M89" s="88">
        <v>0</v>
      </c>
      <c r="N89" s="88"/>
      <c r="O89" s="88">
        <v>0</v>
      </c>
      <c r="P89" s="88">
        <v>0</v>
      </c>
      <c r="Q89" s="89">
        <v>0</v>
      </c>
      <c r="R89" s="88"/>
      <c r="S89" s="90">
        <v>0</v>
      </c>
      <c r="T89" s="88"/>
      <c r="U89" s="110">
        <v>0</v>
      </c>
      <c r="V89" s="88"/>
      <c r="W89" s="128">
        <v>0</v>
      </c>
      <c r="X89" s="88"/>
      <c r="Y89" s="169">
        <v>0</v>
      </c>
      <c r="Z89" s="87">
        <v>0</v>
      </c>
      <c r="AA89" s="87">
        <v>0</v>
      </c>
      <c r="AB89" s="87">
        <v>0</v>
      </c>
      <c r="AC89" s="87">
        <v>0</v>
      </c>
      <c r="AD89" s="87">
        <v>0</v>
      </c>
      <c r="AE89" s="87">
        <v>0</v>
      </c>
      <c r="AF89" s="87">
        <v>0</v>
      </c>
      <c r="AG89" s="87">
        <v>0</v>
      </c>
      <c r="AH89" s="87">
        <v>0</v>
      </c>
      <c r="AI89" s="87">
        <v>0</v>
      </c>
      <c r="AJ89" s="87">
        <v>0</v>
      </c>
      <c r="AK89" s="87">
        <v>0</v>
      </c>
      <c r="AL89" s="87">
        <v>0</v>
      </c>
      <c r="AM89" s="87">
        <v>0</v>
      </c>
      <c r="AN89" s="87">
        <v>0</v>
      </c>
      <c r="AO89" s="87">
        <v>0</v>
      </c>
      <c r="AP89" s="87">
        <v>0</v>
      </c>
      <c r="AQ89" s="87">
        <v>0</v>
      </c>
      <c r="AR89" s="87">
        <v>0</v>
      </c>
      <c r="AS89" s="87">
        <v>0</v>
      </c>
      <c r="AT89" s="87">
        <v>0</v>
      </c>
      <c r="AU89" s="87">
        <v>0</v>
      </c>
      <c r="AV89" s="87">
        <v>0</v>
      </c>
      <c r="AW89" s="87">
        <v>0</v>
      </c>
      <c r="AX89" s="87">
        <v>0</v>
      </c>
    </row>
    <row r="90" spans="1:50" s="6" customFormat="1" ht="26.25" customHeight="1" x14ac:dyDescent="0.15">
      <c r="A90" s="136" t="s">
        <v>118</v>
      </c>
      <c r="B90" s="184" t="s">
        <v>30</v>
      </c>
      <c r="C90" s="185"/>
      <c r="D90" s="186"/>
      <c r="E90" s="44">
        <v>-506744</v>
      </c>
      <c r="F90" s="44">
        <v>-1044145.17</v>
      </c>
      <c r="G90" s="44"/>
      <c r="H90" s="17"/>
      <c r="I90" s="18">
        <v>-283650.40000000002</v>
      </c>
      <c r="J90" s="17"/>
      <c r="K90" s="55"/>
      <c r="L90" s="17"/>
      <c r="M90" s="17">
        <v>-75160</v>
      </c>
      <c r="N90" s="18"/>
      <c r="O90" s="18"/>
      <c r="P90" s="18"/>
      <c r="Q90" s="19"/>
      <c r="R90" s="18"/>
      <c r="S90" s="20"/>
      <c r="T90" s="18"/>
      <c r="U90" s="100">
        <v>0</v>
      </c>
      <c r="V90" s="18"/>
      <c r="W90" s="119">
        <v>0</v>
      </c>
      <c r="X90" s="18"/>
      <c r="Y90" s="161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</row>
    <row r="91" spans="1:50" s="6" customFormat="1" ht="26.25" customHeight="1" x14ac:dyDescent="0.15">
      <c r="A91" s="136" t="s">
        <v>119</v>
      </c>
      <c r="B91" s="184" t="s">
        <v>31</v>
      </c>
      <c r="C91" s="185"/>
      <c r="D91" s="186"/>
      <c r="E91" s="44"/>
      <c r="F91" s="44"/>
      <c r="G91" s="44"/>
      <c r="H91" s="17"/>
      <c r="I91" s="18"/>
      <c r="J91" s="17"/>
      <c r="K91" s="17"/>
      <c r="L91" s="17"/>
      <c r="M91" s="18"/>
      <c r="N91" s="18"/>
      <c r="O91" s="18"/>
      <c r="P91" s="18"/>
      <c r="Q91" s="19"/>
      <c r="R91" s="18"/>
      <c r="S91" s="20"/>
      <c r="T91" s="18"/>
      <c r="U91" s="100">
        <v>0</v>
      </c>
      <c r="V91" s="18"/>
      <c r="W91" s="119">
        <v>0</v>
      </c>
      <c r="X91" s="18"/>
      <c r="Y91" s="161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17">
        <v>0</v>
      </c>
      <c r="AX91" s="17">
        <v>0</v>
      </c>
    </row>
    <row r="92" spans="1:50" s="6" customFormat="1" ht="57.75" customHeight="1" x14ac:dyDescent="0.15">
      <c r="A92" s="154" t="s">
        <v>170</v>
      </c>
      <c r="B92" s="184" t="s">
        <v>172</v>
      </c>
      <c r="C92" s="185"/>
      <c r="D92" s="186"/>
      <c r="E92" s="44"/>
      <c r="F92" s="44"/>
      <c r="G92" s="44"/>
      <c r="H92" s="52"/>
      <c r="I92" s="53"/>
      <c r="J92" s="52"/>
      <c r="K92" s="56"/>
      <c r="L92" s="56"/>
      <c r="M92" s="53"/>
      <c r="N92" s="53"/>
      <c r="O92" s="53"/>
      <c r="P92" s="53"/>
      <c r="Q92" s="54"/>
      <c r="R92" s="53"/>
      <c r="S92" s="57"/>
      <c r="T92" s="53"/>
      <c r="U92" s="100">
        <v>0</v>
      </c>
      <c r="V92" s="18"/>
      <c r="W92" s="119">
        <v>0</v>
      </c>
      <c r="X92" s="18"/>
      <c r="Y92" s="161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17">
        <v>0</v>
      </c>
      <c r="AX92" s="17">
        <v>0</v>
      </c>
    </row>
    <row r="93" spans="1:50" s="6" customFormat="1" ht="26.25" customHeight="1" x14ac:dyDescent="0.15">
      <c r="A93" s="154" t="s">
        <v>171</v>
      </c>
      <c r="B93" s="184" t="s">
        <v>173</v>
      </c>
      <c r="C93" s="185"/>
      <c r="D93" s="186"/>
      <c r="E93" s="44"/>
      <c r="F93" s="44"/>
      <c r="G93" s="44"/>
      <c r="H93" s="52"/>
      <c r="I93" s="53"/>
      <c r="J93" s="52"/>
      <c r="K93" s="56"/>
      <c r="L93" s="56"/>
      <c r="M93" s="53"/>
      <c r="N93" s="53"/>
      <c r="O93" s="53"/>
      <c r="P93" s="53"/>
      <c r="Q93" s="54"/>
      <c r="R93" s="53"/>
      <c r="S93" s="57"/>
      <c r="T93" s="53">
        <v>4222305.04</v>
      </c>
      <c r="U93" s="100">
        <v>5971964.5300000003</v>
      </c>
      <c r="V93" s="18">
        <v>350155.95</v>
      </c>
      <c r="W93" s="119">
        <v>1087038.98</v>
      </c>
      <c r="X93" s="18">
        <f>847046.22+333983.91</f>
        <v>1181030.1299999999</v>
      </c>
      <c r="Y93" s="161">
        <v>1898316.12</v>
      </c>
      <c r="Z93" s="17">
        <v>484008.72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17">
        <v>0</v>
      </c>
      <c r="AX93" s="17">
        <v>0</v>
      </c>
    </row>
    <row r="94" spans="1:50" s="6" customFormat="1" ht="10.5" x14ac:dyDescent="0.15">
      <c r="A94" s="81"/>
      <c r="B94" s="81"/>
      <c r="C94" s="81"/>
      <c r="D94" s="81"/>
      <c r="E94" s="82"/>
      <c r="F94" s="82"/>
      <c r="G94" s="82"/>
      <c r="H94" s="82"/>
      <c r="I94" s="83"/>
      <c r="J94" s="82"/>
      <c r="K94" s="82"/>
      <c r="L94" s="82"/>
      <c r="M94" s="83"/>
      <c r="N94" s="83"/>
      <c r="O94" s="83"/>
      <c r="P94" s="85"/>
      <c r="Q94" s="84"/>
      <c r="R94" s="85"/>
      <c r="S94" s="81"/>
      <c r="T94" s="85"/>
      <c r="U94" s="81"/>
      <c r="V94" s="85"/>
      <c r="W94" s="81"/>
      <c r="X94" s="85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</row>
    <row r="95" spans="1:50" x14ac:dyDescent="0.2">
      <c r="Q95" s="3"/>
      <c r="S95" s="3"/>
    </row>
    <row r="96" spans="1:50" x14ac:dyDescent="0.2">
      <c r="Q96" s="3"/>
      <c r="S96" s="3"/>
    </row>
    <row r="97" spans="17:19" x14ac:dyDescent="0.2">
      <c r="Q97" s="3"/>
      <c r="S97" s="3"/>
    </row>
    <row r="98" spans="17:19" x14ac:dyDescent="0.2">
      <c r="Q98" s="3"/>
      <c r="S98" s="3"/>
    </row>
    <row r="99" spans="17:19" x14ac:dyDescent="0.2">
      <c r="Q99" s="3"/>
      <c r="S99" s="3"/>
    </row>
    <row r="100" spans="17:19" x14ac:dyDescent="0.2">
      <c r="Q100" s="3"/>
      <c r="S100" s="3"/>
    </row>
    <row r="101" spans="17:19" x14ac:dyDescent="0.2">
      <c r="Q101" s="3"/>
      <c r="S101" s="3"/>
    </row>
    <row r="102" spans="17:19" x14ac:dyDescent="0.2">
      <c r="Q102" s="3"/>
      <c r="S102" s="3"/>
    </row>
    <row r="103" spans="17:19" x14ac:dyDescent="0.2">
      <c r="Q103" s="3"/>
      <c r="S103" s="3"/>
    </row>
    <row r="104" spans="17:19" x14ac:dyDescent="0.2">
      <c r="Q104" s="3"/>
      <c r="S104" s="3"/>
    </row>
    <row r="105" spans="17:19" x14ac:dyDescent="0.2">
      <c r="Q105" s="3"/>
      <c r="S105" s="3"/>
    </row>
    <row r="106" spans="17:19" x14ac:dyDescent="0.2">
      <c r="Q106" s="3"/>
      <c r="S106" s="3"/>
    </row>
    <row r="107" spans="17:19" x14ac:dyDescent="0.2">
      <c r="Q107" s="3"/>
      <c r="S107" s="3"/>
    </row>
    <row r="108" spans="17:19" x14ac:dyDescent="0.2">
      <c r="Q108" s="3"/>
      <c r="S108" s="3"/>
    </row>
    <row r="109" spans="17:19" x14ac:dyDescent="0.2">
      <c r="Q109" s="3"/>
      <c r="S109" s="3"/>
    </row>
    <row r="110" spans="17:19" x14ac:dyDescent="0.2">
      <c r="Q110" s="3"/>
      <c r="S110" s="3"/>
    </row>
    <row r="111" spans="17:19" x14ac:dyDescent="0.2">
      <c r="Q111" s="3"/>
      <c r="S111" s="3"/>
    </row>
    <row r="112" spans="17:19" x14ac:dyDescent="0.2">
      <c r="Q112" s="3"/>
      <c r="S112" s="3"/>
    </row>
    <row r="113" spans="17:19" x14ac:dyDescent="0.2">
      <c r="Q113" s="3"/>
      <c r="S113" s="3"/>
    </row>
    <row r="114" spans="17:19" x14ac:dyDescent="0.2">
      <c r="Q114" s="3"/>
      <c r="S114" s="3"/>
    </row>
    <row r="115" spans="17:19" x14ac:dyDescent="0.2">
      <c r="Q115" s="3"/>
      <c r="S115" s="3"/>
    </row>
    <row r="116" spans="17:19" x14ac:dyDescent="0.2">
      <c r="Q116" s="3"/>
      <c r="S116" s="3"/>
    </row>
    <row r="117" spans="17:19" x14ac:dyDescent="0.2">
      <c r="Q117" s="3"/>
      <c r="S117" s="3"/>
    </row>
    <row r="118" spans="17:19" x14ac:dyDescent="0.2">
      <c r="Q118" s="3"/>
      <c r="S118" s="3"/>
    </row>
    <row r="119" spans="17:19" x14ac:dyDescent="0.2">
      <c r="Q119" s="3"/>
      <c r="S119" s="3"/>
    </row>
    <row r="120" spans="17:19" x14ac:dyDescent="0.2">
      <c r="Q120" s="3"/>
      <c r="S120" s="3"/>
    </row>
    <row r="121" spans="17:19" x14ac:dyDescent="0.2">
      <c r="Q121" s="3"/>
      <c r="S121" s="3"/>
    </row>
    <row r="122" spans="17:19" x14ac:dyDescent="0.2">
      <c r="Q122" s="3"/>
      <c r="S122" s="3"/>
    </row>
    <row r="123" spans="17:19" x14ac:dyDescent="0.2">
      <c r="Q123" s="3"/>
      <c r="S123" s="3"/>
    </row>
    <row r="124" spans="17:19" x14ac:dyDescent="0.2">
      <c r="Q124" s="3"/>
      <c r="S124" s="3"/>
    </row>
    <row r="125" spans="17:19" x14ac:dyDescent="0.2">
      <c r="Q125" s="3"/>
      <c r="S125" s="3"/>
    </row>
    <row r="126" spans="17:19" x14ac:dyDescent="0.2">
      <c r="Q126" s="3"/>
      <c r="S126" s="3"/>
    </row>
    <row r="127" spans="17:19" x14ac:dyDescent="0.2">
      <c r="Q127" s="3"/>
      <c r="S127" s="3"/>
    </row>
    <row r="128" spans="17:19" x14ac:dyDescent="0.2">
      <c r="Q128" s="3"/>
      <c r="S128" s="3"/>
    </row>
    <row r="129" spans="17:19" x14ac:dyDescent="0.2">
      <c r="Q129" s="3"/>
      <c r="S129" s="3"/>
    </row>
    <row r="130" spans="17:19" x14ac:dyDescent="0.2">
      <c r="Q130" s="3"/>
      <c r="S130" s="3"/>
    </row>
    <row r="131" spans="17:19" x14ac:dyDescent="0.2">
      <c r="Q131" s="3"/>
      <c r="S131" s="3"/>
    </row>
    <row r="132" spans="17:19" x14ac:dyDescent="0.2">
      <c r="Q132" s="3"/>
      <c r="S132" s="3"/>
    </row>
    <row r="133" spans="17:19" x14ac:dyDescent="0.2">
      <c r="Q133" s="3"/>
      <c r="S133" s="3"/>
    </row>
    <row r="134" spans="17:19" x14ac:dyDescent="0.2">
      <c r="Q134" s="3"/>
      <c r="S134" s="3"/>
    </row>
    <row r="135" spans="17:19" x14ac:dyDescent="0.2">
      <c r="Q135" s="3"/>
      <c r="S135" s="3"/>
    </row>
    <row r="136" spans="17:19" x14ac:dyDescent="0.2">
      <c r="Q136" s="3"/>
      <c r="S136" s="3"/>
    </row>
    <row r="137" spans="17:19" x14ac:dyDescent="0.2">
      <c r="Q137" s="3"/>
      <c r="S137" s="3"/>
    </row>
    <row r="138" spans="17:19" x14ac:dyDescent="0.2">
      <c r="Q138" s="3"/>
      <c r="S138" s="3"/>
    </row>
    <row r="139" spans="17:19" x14ac:dyDescent="0.2">
      <c r="Q139" s="3"/>
      <c r="S139" s="3"/>
    </row>
    <row r="140" spans="17:19" x14ac:dyDescent="0.2">
      <c r="Q140" s="3"/>
      <c r="S140" s="3"/>
    </row>
    <row r="141" spans="17:19" x14ac:dyDescent="0.2">
      <c r="Q141" s="3"/>
      <c r="S141" s="3"/>
    </row>
    <row r="142" spans="17:19" x14ac:dyDescent="0.2">
      <c r="Q142" s="3"/>
      <c r="S142" s="3"/>
    </row>
    <row r="143" spans="17:19" x14ac:dyDescent="0.2">
      <c r="Q143" s="3"/>
      <c r="S143" s="3"/>
    </row>
    <row r="144" spans="17:19" x14ac:dyDescent="0.2">
      <c r="Q144" s="3"/>
      <c r="S144" s="3"/>
    </row>
    <row r="145" spans="17:19" x14ac:dyDescent="0.2">
      <c r="Q145" s="3"/>
      <c r="S145" s="3"/>
    </row>
    <row r="146" spans="17:19" x14ac:dyDescent="0.2">
      <c r="Q146" s="3"/>
      <c r="S146" s="3"/>
    </row>
    <row r="147" spans="17:19" x14ac:dyDescent="0.2">
      <c r="Q147" s="3"/>
      <c r="S147" s="3"/>
    </row>
    <row r="148" spans="17:19" x14ac:dyDescent="0.2">
      <c r="Q148" s="3"/>
      <c r="S148" s="3"/>
    </row>
    <row r="149" spans="17:19" x14ac:dyDescent="0.2">
      <c r="Q149" s="3"/>
      <c r="S149" s="3"/>
    </row>
    <row r="150" spans="17:19" x14ac:dyDescent="0.2">
      <c r="Q150" s="3"/>
      <c r="S150" s="3"/>
    </row>
    <row r="151" spans="17:19" x14ac:dyDescent="0.2">
      <c r="Q151" s="3"/>
      <c r="S151" s="3"/>
    </row>
    <row r="152" spans="17:19" x14ac:dyDescent="0.2">
      <c r="Q152" s="3"/>
      <c r="S152" s="3"/>
    </row>
    <row r="153" spans="17:19" x14ac:dyDescent="0.2">
      <c r="Q153" s="3"/>
      <c r="S153" s="3"/>
    </row>
    <row r="154" spans="17:19" x14ac:dyDescent="0.2">
      <c r="Q154" s="3"/>
      <c r="S154" s="3"/>
    </row>
    <row r="155" spans="17:19" x14ac:dyDescent="0.2">
      <c r="Q155" s="3"/>
      <c r="S155" s="3"/>
    </row>
    <row r="156" spans="17:19" x14ac:dyDescent="0.2">
      <c r="Q156" s="3"/>
      <c r="S156" s="3"/>
    </row>
    <row r="157" spans="17:19" x14ac:dyDescent="0.2">
      <c r="Q157" s="3"/>
      <c r="S157" s="3"/>
    </row>
    <row r="158" spans="17:19" x14ac:dyDescent="0.2">
      <c r="Q158" s="3"/>
      <c r="S158" s="3"/>
    </row>
    <row r="159" spans="17:19" x14ac:dyDescent="0.2">
      <c r="Q159" s="3"/>
      <c r="S159" s="3"/>
    </row>
    <row r="160" spans="17:19" x14ac:dyDescent="0.2">
      <c r="Q160" s="3"/>
      <c r="S160" s="3"/>
    </row>
    <row r="161" spans="17:19" x14ac:dyDescent="0.2">
      <c r="Q161" s="3"/>
      <c r="S161" s="3"/>
    </row>
    <row r="162" spans="17:19" x14ac:dyDescent="0.2">
      <c r="Q162" s="3"/>
      <c r="S162" s="3"/>
    </row>
    <row r="163" spans="17:19" x14ac:dyDescent="0.2">
      <c r="Q163" s="3"/>
      <c r="S163" s="3"/>
    </row>
    <row r="164" spans="17:19" x14ac:dyDescent="0.2">
      <c r="Q164" s="3"/>
      <c r="S164" s="3"/>
    </row>
    <row r="165" spans="17:19" x14ac:dyDescent="0.2">
      <c r="Q165" s="3"/>
      <c r="S165" s="3"/>
    </row>
    <row r="166" spans="17:19" x14ac:dyDescent="0.2">
      <c r="Q166" s="3"/>
      <c r="S166" s="3"/>
    </row>
    <row r="167" spans="17:19" x14ac:dyDescent="0.2">
      <c r="Q167" s="3"/>
      <c r="S167" s="3"/>
    </row>
    <row r="168" spans="17:19" x14ac:dyDescent="0.2">
      <c r="Q168" s="3"/>
      <c r="S168" s="3"/>
    </row>
    <row r="169" spans="17:19" x14ac:dyDescent="0.2">
      <c r="Q169" s="3"/>
      <c r="S169" s="3"/>
    </row>
    <row r="170" spans="17:19" x14ac:dyDescent="0.2">
      <c r="Q170" s="3"/>
      <c r="S170" s="3"/>
    </row>
    <row r="171" spans="17:19" x14ac:dyDescent="0.2">
      <c r="Q171" s="3"/>
      <c r="S171" s="3"/>
    </row>
    <row r="172" spans="17:19" x14ac:dyDescent="0.2">
      <c r="Q172" s="3"/>
      <c r="S172" s="3"/>
    </row>
    <row r="173" spans="17:19" x14ac:dyDescent="0.2">
      <c r="Q173" s="3"/>
      <c r="S173" s="3"/>
    </row>
    <row r="174" spans="17:19" x14ac:dyDescent="0.2">
      <c r="Q174" s="3"/>
      <c r="S174" s="3"/>
    </row>
    <row r="175" spans="17:19" x14ac:dyDescent="0.2">
      <c r="Q175" s="3"/>
      <c r="S175" s="3"/>
    </row>
    <row r="176" spans="17:19" x14ac:dyDescent="0.2">
      <c r="Q176" s="3"/>
      <c r="S176" s="3"/>
    </row>
    <row r="177" spans="17:19" x14ac:dyDescent="0.2">
      <c r="Q177" s="3"/>
      <c r="S177" s="3"/>
    </row>
    <row r="178" spans="17:19" x14ac:dyDescent="0.2">
      <c r="Q178" s="3"/>
      <c r="S178" s="3"/>
    </row>
    <row r="179" spans="17:19" x14ac:dyDescent="0.2">
      <c r="Q179" s="3"/>
      <c r="S179" s="3"/>
    </row>
    <row r="180" spans="17:19" x14ac:dyDescent="0.2">
      <c r="Q180" s="3"/>
      <c r="S180" s="3"/>
    </row>
    <row r="181" spans="17:19" x14ac:dyDescent="0.2">
      <c r="Q181" s="3"/>
      <c r="S181" s="3"/>
    </row>
    <row r="182" spans="17:19" x14ac:dyDescent="0.2">
      <c r="Q182" s="3"/>
      <c r="S182" s="3"/>
    </row>
    <row r="183" spans="17:19" x14ac:dyDescent="0.2">
      <c r="Q183" s="3"/>
      <c r="S183" s="3"/>
    </row>
    <row r="184" spans="17:19" x14ac:dyDescent="0.2">
      <c r="Q184" s="3"/>
      <c r="S184" s="3"/>
    </row>
    <row r="185" spans="17:19" x14ac:dyDescent="0.2">
      <c r="Q185" s="3"/>
      <c r="S185" s="3"/>
    </row>
    <row r="186" spans="17:19" x14ac:dyDescent="0.2">
      <c r="Q186" s="3"/>
      <c r="S186" s="3"/>
    </row>
    <row r="187" spans="17:19" x14ac:dyDescent="0.2">
      <c r="Q187" s="3"/>
      <c r="S187" s="3"/>
    </row>
    <row r="188" spans="17:19" x14ac:dyDescent="0.2">
      <c r="Q188" s="3"/>
      <c r="S188" s="3"/>
    </row>
    <row r="189" spans="17:19" x14ac:dyDescent="0.2">
      <c r="Q189" s="3"/>
      <c r="S189" s="3"/>
    </row>
    <row r="190" spans="17:19" x14ac:dyDescent="0.2">
      <c r="Q190" s="3"/>
      <c r="S190" s="3"/>
    </row>
    <row r="191" spans="17:19" x14ac:dyDescent="0.2">
      <c r="Q191" s="3"/>
      <c r="S191" s="3"/>
    </row>
    <row r="192" spans="17:19" x14ac:dyDescent="0.2">
      <c r="Q192" s="3"/>
      <c r="S192" s="3"/>
    </row>
    <row r="193" spans="17:19" x14ac:dyDescent="0.2">
      <c r="Q193" s="3"/>
      <c r="S193" s="3"/>
    </row>
    <row r="194" spans="17:19" x14ac:dyDescent="0.2">
      <c r="Q194" s="3"/>
      <c r="S194" s="3"/>
    </row>
    <row r="195" spans="17:19" x14ac:dyDescent="0.2">
      <c r="Q195" s="3"/>
      <c r="S195" s="3"/>
    </row>
    <row r="196" spans="17:19" x14ac:dyDescent="0.2">
      <c r="Q196" s="3"/>
      <c r="S196" s="3"/>
    </row>
    <row r="197" spans="17:19" x14ac:dyDescent="0.2">
      <c r="Q197" s="3"/>
      <c r="S197" s="3"/>
    </row>
    <row r="198" spans="17:19" x14ac:dyDescent="0.2">
      <c r="Q198" s="3"/>
      <c r="S198" s="3"/>
    </row>
    <row r="199" spans="17:19" x14ac:dyDescent="0.2">
      <c r="Q199" s="3"/>
      <c r="S199" s="3"/>
    </row>
    <row r="200" spans="17:19" x14ac:dyDescent="0.2">
      <c r="Q200" s="3"/>
      <c r="S200" s="3"/>
    </row>
    <row r="201" spans="17:19" x14ac:dyDescent="0.2">
      <c r="Q201" s="3"/>
      <c r="S201" s="3"/>
    </row>
    <row r="202" spans="17:19" x14ac:dyDescent="0.2">
      <c r="Q202" s="3"/>
      <c r="S202" s="3"/>
    </row>
    <row r="203" spans="17:19" x14ac:dyDescent="0.2">
      <c r="Q203" s="3"/>
      <c r="S203" s="3"/>
    </row>
    <row r="204" spans="17:19" x14ac:dyDescent="0.2">
      <c r="Q204" s="3"/>
      <c r="S204" s="3"/>
    </row>
    <row r="205" spans="17:19" x14ac:dyDescent="0.2">
      <c r="Q205" s="3"/>
      <c r="S205" s="3"/>
    </row>
    <row r="206" spans="17:19" x14ac:dyDescent="0.2">
      <c r="Q206" s="3"/>
      <c r="S206" s="3"/>
    </row>
    <row r="207" spans="17:19" x14ac:dyDescent="0.2">
      <c r="Q207" s="3"/>
      <c r="S207" s="3"/>
    </row>
    <row r="208" spans="17:19" x14ac:dyDescent="0.2">
      <c r="Q208" s="3"/>
      <c r="S208" s="3"/>
    </row>
    <row r="209" spans="17:19" x14ac:dyDescent="0.2">
      <c r="Q209" s="3"/>
      <c r="S209" s="3"/>
    </row>
    <row r="210" spans="17:19" x14ac:dyDescent="0.2">
      <c r="Q210" s="3"/>
      <c r="S210" s="3"/>
    </row>
    <row r="211" spans="17:19" x14ac:dyDescent="0.2">
      <c r="Q211" s="3"/>
      <c r="S211" s="3"/>
    </row>
    <row r="212" spans="17:19" x14ac:dyDescent="0.2">
      <c r="Q212" s="3"/>
      <c r="S212" s="3"/>
    </row>
    <row r="213" spans="17:19" x14ac:dyDescent="0.2">
      <c r="Q213" s="3"/>
      <c r="S213" s="3"/>
    </row>
    <row r="214" spans="17:19" x14ac:dyDescent="0.2">
      <c r="Q214" s="3"/>
      <c r="S214" s="3"/>
    </row>
    <row r="215" spans="17:19" x14ac:dyDescent="0.2">
      <c r="Q215" s="3"/>
      <c r="S215" s="3"/>
    </row>
    <row r="216" spans="17:19" x14ac:dyDescent="0.2">
      <c r="Q216" s="3"/>
      <c r="S216" s="3"/>
    </row>
    <row r="217" spans="17:19" x14ac:dyDescent="0.2">
      <c r="Q217" s="3"/>
      <c r="S217" s="3"/>
    </row>
    <row r="218" spans="17:19" x14ac:dyDescent="0.2">
      <c r="Q218" s="3"/>
      <c r="S218" s="3"/>
    </row>
    <row r="219" spans="17:19" x14ac:dyDescent="0.2">
      <c r="Q219" s="3"/>
      <c r="S219" s="3"/>
    </row>
    <row r="220" spans="17:19" x14ac:dyDescent="0.2">
      <c r="Q220" s="3"/>
      <c r="S220" s="3"/>
    </row>
    <row r="221" spans="17:19" x14ac:dyDescent="0.2">
      <c r="Q221" s="3"/>
      <c r="S221" s="3"/>
    </row>
    <row r="222" spans="17:19" x14ac:dyDescent="0.2">
      <c r="Q222" s="3"/>
      <c r="S222" s="3"/>
    </row>
    <row r="223" spans="17:19" x14ac:dyDescent="0.2">
      <c r="Q223" s="3"/>
      <c r="S223" s="3"/>
    </row>
    <row r="224" spans="17:19" x14ac:dyDescent="0.2">
      <c r="Q224" s="3"/>
      <c r="S224" s="3"/>
    </row>
    <row r="225" spans="17:19" x14ac:dyDescent="0.2">
      <c r="Q225" s="3"/>
      <c r="S225" s="3"/>
    </row>
    <row r="226" spans="17:19" x14ac:dyDescent="0.2">
      <c r="Q226" s="3"/>
      <c r="S226" s="3"/>
    </row>
    <row r="227" spans="17:19" x14ac:dyDescent="0.2">
      <c r="Q227" s="3"/>
      <c r="S227" s="3"/>
    </row>
    <row r="228" spans="17:19" x14ac:dyDescent="0.2">
      <c r="Q228" s="3"/>
      <c r="S228" s="3"/>
    </row>
    <row r="229" spans="17:19" x14ac:dyDescent="0.2">
      <c r="Q229" s="3"/>
      <c r="S229" s="3"/>
    </row>
    <row r="230" spans="17:19" x14ac:dyDescent="0.2">
      <c r="Q230" s="3"/>
      <c r="S230" s="3"/>
    </row>
    <row r="231" spans="17:19" x14ac:dyDescent="0.2">
      <c r="Q231" s="3"/>
      <c r="S231" s="3"/>
    </row>
    <row r="232" spans="17:19" x14ac:dyDescent="0.2">
      <c r="Q232" s="3"/>
      <c r="S232" s="3"/>
    </row>
    <row r="233" spans="17:19" x14ac:dyDescent="0.2">
      <c r="Q233" s="3"/>
      <c r="S233" s="3"/>
    </row>
    <row r="234" spans="17:19" x14ac:dyDescent="0.2">
      <c r="Q234" s="3"/>
      <c r="S234" s="3"/>
    </row>
    <row r="235" spans="17:19" x14ac:dyDescent="0.2">
      <c r="Q235" s="3"/>
      <c r="S235" s="3"/>
    </row>
    <row r="236" spans="17:19" x14ac:dyDescent="0.2">
      <c r="Q236" s="3"/>
      <c r="S236" s="3"/>
    </row>
    <row r="237" spans="17:19" x14ac:dyDescent="0.2">
      <c r="Q237" s="3"/>
      <c r="S237" s="3"/>
    </row>
    <row r="238" spans="17:19" x14ac:dyDescent="0.2">
      <c r="Q238" s="3"/>
      <c r="S238" s="3"/>
    </row>
    <row r="239" spans="17:19" x14ac:dyDescent="0.2">
      <c r="Q239" s="3"/>
      <c r="S239" s="3"/>
    </row>
    <row r="240" spans="17:19" x14ac:dyDescent="0.2">
      <c r="Q240" s="3"/>
      <c r="S240" s="3"/>
    </row>
    <row r="241" spans="17:19" x14ac:dyDescent="0.2">
      <c r="Q241" s="3"/>
      <c r="S241" s="3"/>
    </row>
    <row r="242" spans="17:19" x14ac:dyDescent="0.2">
      <c r="Q242" s="3"/>
      <c r="S242" s="3"/>
    </row>
    <row r="243" spans="17:19" x14ac:dyDescent="0.2">
      <c r="Q243" s="3"/>
      <c r="S243" s="3"/>
    </row>
    <row r="244" spans="17:19" x14ac:dyDescent="0.2">
      <c r="Q244" s="3"/>
      <c r="S244" s="3"/>
    </row>
    <row r="245" spans="17:19" x14ac:dyDescent="0.2">
      <c r="Q245" s="3"/>
      <c r="S245" s="3"/>
    </row>
    <row r="246" spans="17:19" x14ac:dyDescent="0.2">
      <c r="Q246" s="3"/>
      <c r="S246" s="3"/>
    </row>
    <row r="247" spans="17:19" x14ac:dyDescent="0.2">
      <c r="Q247" s="3"/>
      <c r="S247" s="3"/>
    </row>
    <row r="248" spans="17:19" x14ac:dyDescent="0.2">
      <c r="Q248" s="3"/>
      <c r="S248" s="3"/>
    </row>
    <row r="249" spans="17:19" x14ac:dyDescent="0.2">
      <c r="Q249" s="3"/>
      <c r="S249" s="3"/>
    </row>
    <row r="250" spans="17:19" x14ac:dyDescent="0.2">
      <c r="Q250" s="3"/>
      <c r="S250" s="3"/>
    </row>
    <row r="251" spans="17:19" x14ac:dyDescent="0.2">
      <c r="Q251" s="3"/>
      <c r="S251" s="3"/>
    </row>
    <row r="252" spans="17:19" x14ac:dyDescent="0.2">
      <c r="Q252" s="3"/>
      <c r="S252" s="3"/>
    </row>
    <row r="253" spans="17:19" x14ac:dyDescent="0.2">
      <c r="Q253" s="3"/>
      <c r="S253" s="3"/>
    </row>
    <row r="254" spans="17:19" x14ac:dyDescent="0.2">
      <c r="Q254" s="3"/>
      <c r="S254" s="3"/>
    </row>
    <row r="255" spans="17:19" x14ac:dyDescent="0.2">
      <c r="Q255" s="3"/>
      <c r="S255" s="3"/>
    </row>
    <row r="256" spans="17:19" x14ac:dyDescent="0.2">
      <c r="Q256" s="3"/>
      <c r="S256" s="3"/>
    </row>
    <row r="257" spans="17:19" x14ac:dyDescent="0.2">
      <c r="Q257" s="3"/>
      <c r="S257" s="3"/>
    </row>
    <row r="258" spans="17:19" x14ac:dyDescent="0.2">
      <c r="Q258" s="3"/>
      <c r="S258" s="3"/>
    </row>
    <row r="259" spans="17:19" x14ac:dyDescent="0.2">
      <c r="Q259" s="3"/>
      <c r="S259" s="3"/>
    </row>
    <row r="260" spans="17:19" x14ac:dyDescent="0.2">
      <c r="Q260" s="3"/>
      <c r="S260" s="3"/>
    </row>
    <row r="261" spans="17:19" x14ac:dyDescent="0.2">
      <c r="Q261" s="3"/>
      <c r="S261" s="3"/>
    </row>
    <row r="262" spans="17:19" x14ac:dyDescent="0.2">
      <c r="Q262" s="3"/>
      <c r="S262" s="3"/>
    </row>
    <row r="263" spans="17:19" x14ac:dyDescent="0.2">
      <c r="Q263" s="3"/>
      <c r="S263" s="3"/>
    </row>
    <row r="264" spans="17:19" x14ac:dyDescent="0.2">
      <c r="Q264" s="3"/>
      <c r="S264" s="3"/>
    </row>
    <row r="265" spans="17:19" x14ac:dyDescent="0.2">
      <c r="Q265" s="3"/>
      <c r="S265" s="3"/>
    </row>
    <row r="266" spans="17:19" x14ac:dyDescent="0.2">
      <c r="Q266" s="3"/>
      <c r="S266" s="3"/>
    </row>
    <row r="267" spans="17:19" x14ac:dyDescent="0.2">
      <c r="Q267" s="3"/>
      <c r="S267" s="3"/>
    </row>
    <row r="268" spans="17:19" x14ac:dyDescent="0.2">
      <c r="Q268" s="3"/>
      <c r="S268" s="3"/>
    </row>
    <row r="269" spans="17:19" x14ac:dyDescent="0.2">
      <c r="Q269" s="3"/>
      <c r="S269" s="3"/>
    </row>
    <row r="270" spans="17:19" x14ac:dyDescent="0.2">
      <c r="Q270" s="3"/>
      <c r="S270" s="3"/>
    </row>
    <row r="271" spans="17:19" x14ac:dyDescent="0.2">
      <c r="Q271" s="3"/>
      <c r="S271" s="3"/>
    </row>
    <row r="272" spans="17:19" x14ac:dyDescent="0.2">
      <c r="Q272" s="3"/>
      <c r="S272" s="3"/>
    </row>
    <row r="273" spans="17:19" x14ac:dyDescent="0.2">
      <c r="Q273" s="3"/>
      <c r="S273" s="3"/>
    </row>
    <row r="274" spans="17:19" x14ac:dyDescent="0.2">
      <c r="Q274" s="3"/>
      <c r="S274" s="3"/>
    </row>
    <row r="275" spans="17:19" x14ac:dyDescent="0.2">
      <c r="Q275" s="3"/>
      <c r="S275" s="3"/>
    </row>
    <row r="276" spans="17:19" x14ac:dyDescent="0.2">
      <c r="Q276" s="3"/>
      <c r="S276" s="3"/>
    </row>
    <row r="277" spans="17:19" x14ac:dyDescent="0.2">
      <c r="Q277" s="3"/>
      <c r="S277" s="3"/>
    </row>
    <row r="278" spans="17:19" x14ac:dyDescent="0.2">
      <c r="Q278" s="3"/>
      <c r="S278" s="3"/>
    </row>
    <row r="279" spans="17:19" x14ac:dyDescent="0.2">
      <c r="Q279" s="3"/>
      <c r="S279" s="3"/>
    </row>
    <row r="280" spans="17:19" x14ac:dyDescent="0.2">
      <c r="Q280" s="3"/>
      <c r="S280" s="3"/>
    </row>
    <row r="281" spans="17:19" x14ac:dyDescent="0.2">
      <c r="Q281" s="3"/>
      <c r="S281" s="3"/>
    </row>
    <row r="282" spans="17:19" x14ac:dyDescent="0.2">
      <c r="Q282" s="3"/>
      <c r="S282" s="3"/>
    </row>
    <row r="283" spans="17:19" x14ac:dyDescent="0.2">
      <c r="Q283" s="3"/>
      <c r="S283" s="3"/>
    </row>
    <row r="284" spans="17:19" x14ac:dyDescent="0.2">
      <c r="Q284" s="3"/>
      <c r="S284" s="3"/>
    </row>
    <row r="285" spans="17:19" x14ac:dyDescent="0.2">
      <c r="Q285" s="3"/>
      <c r="S285" s="3"/>
    </row>
    <row r="286" spans="17:19" x14ac:dyDescent="0.2">
      <c r="Q286" s="3"/>
      <c r="S286" s="3"/>
    </row>
    <row r="287" spans="17:19" x14ac:dyDescent="0.2">
      <c r="Q287" s="3"/>
      <c r="S287" s="3"/>
    </row>
    <row r="288" spans="17:19" x14ac:dyDescent="0.2">
      <c r="Q288" s="3"/>
      <c r="S288" s="3"/>
    </row>
    <row r="289" spans="17:19" x14ac:dyDescent="0.2">
      <c r="Q289" s="3"/>
      <c r="S289" s="3"/>
    </row>
    <row r="290" spans="17:19" x14ac:dyDescent="0.2">
      <c r="Q290" s="3"/>
      <c r="S290" s="3"/>
    </row>
    <row r="291" spans="17:19" x14ac:dyDescent="0.2">
      <c r="Q291" s="3"/>
      <c r="S291" s="3"/>
    </row>
    <row r="292" spans="17:19" x14ac:dyDescent="0.2">
      <c r="Q292" s="3"/>
      <c r="S292" s="3"/>
    </row>
    <row r="293" spans="17:19" x14ac:dyDescent="0.2">
      <c r="Q293" s="3"/>
      <c r="S293" s="3"/>
    </row>
    <row r="294" spans="17:19" x14ac:dyDescent="0.2">
      <c r="Q294" s="3"/>
      <c r="S294" s="3"/>
    </row>
    <row r="295" spans="17:19" x14ac:dyDescent="0.2">
      <c r="Q295" s="3"/>
      <c r="S295" s="3"/>
    </row>
    <row r="296" spans="17:19" x14ac:dyDescent="0.2">
      <c r="Q296" s="3"/>
      <c r="S296" s="3"/>
    </row>
    <row r="297" spans="17:19" x14ac:dyDescent="0.2">
      <c r="Q297" s="3"/>
      <c r="S297" s="3"/>
    </row>
    <row r="298" spans="17:19" x14ac:dyDescent="0.2">
      <c r="Q298" s="3"/>
      <c r="S298" s="3"/>
    </row>
    <row r="299" spans="17:19" x14ac:dyDescent="0.2">
      <c r="Q299" s="3"/>
      <c r="S299" s="3"/>
    </row>
    <row r="300" spans="17:19" x14ac:dyDescent="0.2">
      <c r="Q300" s="3"/>
      <c r="S300" s="3"/>
    </row>
    <row r="301" spans="17:19" x14ac:dyDescent="0.2">
      <c r="Q301" s="3"/>
      <c r="S301" s="3"/>
    </row>
    <row r="302" spans="17:19" x14ac:dyDescent="0.2">
      <c r="Q302" s="3"/>
      <c r="S302" s="3"/>
    </row>
    <row r="303" spans="17:19" x14ac:dyDescent="0.2">
      <c r="Q303" s="3"/>
      <c r="S303" s="3"/>
    </row>
    <row r="304" spans="17:19" x14ac:dyDescent="0.2">
      <c r="Q304" s="3"/>
      <c r="S304" s="3"/>
    </row>
    <row r="305" spans="17:19" x14ac:dyDescent="0.2">
      <c r="Q305" s="3"/>
      <c r="S305" s="3"/>
    </row>
    <row r="306" spans="17:19" x14ac:dyDescent="0.2">
      <c r="Q306" s="3"/>
      <c r="S306" s="3"/>
    </row>
    <row r="307" spans="17:19" x14ac:dyDescent="0.2">
      <c r="Q307" s="3"/>
      <c r="S307" s="3"/>
    </row>
    <row r="308" spans="17:19" x14ac:dyDescent="0.2">
      <c r="Q308" s="3"/>
      <c r="S308" s="3"/>
    </row>
    <row r="309" spans="17:19" x14ac:dyDescent="0.2">
      <c r="Q309" s="3"/>
      <c r="S309" s="3"/>
    </row>
    <row r="310" spans="17:19" x14ac:dyDescent="0.2">
      <c r="Q310" s="3"/>
      <c r="S310" s="3"/>
    </row>
    <row r="311" spans="17:19" x14ac:dyDescent="0.2">
      <c r="Q311" s="3"/>
      <c r="S311" s="3"/>
    </row>
    <row r="312" spans="17:19" x14ac:dyDescent="0.2">
      <c r="Q312" s="3"/>
      <c r="S312" s="3"/>
    </row>
    <row r="313" spans="17:19" x14ac:dyDescent="0.2">
      <c r="Q313" s="3"/>
      <c r="S313" s="3"/>
    </row>
    <row r="314" spans="17:19" x14ac:dyDescent="0.2">
      <c r="Q314" s="3"/>
      <c r="S314" s="3"/>
    </row>
    <row r="315" spans="17:19" x14ac:dyDescent="0.2">
      <c r="Q315" s="3"/>
      <c r="S315" s="3"/>
    </row>
    <row r="316" spans="17:19" x14ac:dyDescent="0.2">
      <c r="Q316" s="3"/>
      <c r="S316" s="3"/>
    </row>
    <row r="317" spans="17:19" x14ac:dyDescent="0.2">
      <c r="Q317" s="3"/>
      <c r="S317" s="3"/>
    </row>
    <row r="318" spans="17:19" x14ac:dyDescent="0.2">
      <c r="Q318" s="3"/>
      <c r="S318" s="3"/>
    </row>
    <row r="319" spans="17:19" x14ac:dyDescent="0.2">
      <c r="Q319" s="3"/>
      <c r="S319" s="3"/>
    </row>
    <row r="320" spans="17:19" x14ac:dyDescent="0.2">
      <c r="Q320" s="3"/>
      <c r="S320" s="3"/>
    </row>
    <row r="321" spans="17:19" x14ac:dyDescent="0.2">
      <c r="Q321" s="3"/>
      <c r="S321" s="3"/>
    </row>
    <row r="322" spans="17:19" x14ac:dyDescent="0.2">
      <c r="Q322" s="3"/>
      <c r="S322" s="3"/>
    </row>
    <row r="323" spans="17:19" x14ac:dyDescent="0.2">
      <c r="Q323" s="3"/>
      <c r="S323" s="3"/>
    </row>
    <row r="324" spans="17:19" x14ac:dyDescent="0.2">
      <c r="Q324" s="3"/>
      <c r="S324" s="3"/>
    </row>
    <row r="325" spans="17:19" x14ac:dyDescent="0.2">
      <c r="Q325" s="3"/>
      <c r="S325" s="3"/>
    </row>
    <row r="326" spans="17:19" x14ac:dyDescent="0.2">
      <c r="Q326" s="3"/>
      <c r="S326" s="3"/>
    </row>
    <row r="327" spans="17:19" x14ac:dyDescent="0.2">
      <c r="Q327" s="3"/>
      <c r="S327" s="3"/>
    </row>
    <row r="328" spans="17:19" x14ac:dyDescent="0.2">
      <c r="Q328" s="3"/>
      <c r="S328" s="3"/>
    </row>
    <row r="329" spans="17:19" x14ac:dyDescent="0.2">
      <c r="Q329" s="3"/>
      <c r="S329" s="3"/>
    </row>
    <row r="330" spans="17:19" x14ac:dyDescent="0.2">
      <c r="Q330" s="3"/>
      <c r="S330" s="3"/>
    </row>
    <row r="331" spans="17:19" x14ac:dyDescent="0.2">
      <c r="Q331" s="3"/>
      <c r="S331" s="3"/>
    </row>
    <row r="332" spans="17:19" x14ac:dyDescent="0.2">
      <c r="Q332" s="3"/>
      <c r="S332" s="3"/>
    </row>
    <row r="333" spans="17:19" x14ac:dyDescent="0.2">
      <c r="Q333" s="3"/>
      <c r="S333" s="3"/>
    </row>
    <row r="334" spans="17:19" x14ac:dyDescent="0.2">
      <c r="Q334" s="3"/>
      <c r="S334" s="3"/>
    </row>
    <row r="335" spans="17:19" x14ac:dyDescent="0.2">
      <c r="Q335" s="3"/>
      <c r="S335" s="3"/>
    </row>
    <row r="336" spans="17:19" x14ac:dyDescent="0.2">
      <c r="Q336" s="3"/>
      <c r="S336" s="3"/>
    </row>
    <row r="337" spans="17:19" x14ac:dyDescent="0.2">
      <c r="Q337" s="3"/>
      <c r="S337" s="3"/>
    </row>
    <row r="338" spans="17:19" x14ac:dyDescent="0.2">
      <c r="Q338" s="3"/>
      <c r="S338" s="3"/>
    </row>
    <row r="339" spans="17:19" x14ac:dyDescent="0.2">
      <c r="Q339" s="3"/>
      <c r="S339" s="3"/>
    </row>
    <row r="340" spans="17:19" x14ac:dyDescent="0.2">
      <c r="Q340" s="3"/>
      <c r="S340" s="3"/>
    </row>
    <row r="341" spans="17:19" x14ac:dyDescent="0.2">
      <c r="Q341" s="3"/>
      <c r="S341" s="3"/>
    </row>
    <row r="342" spans="17:19" x14ac:dyDescent="0.2">
      <c r="Q342" s="3"/>
      <c r="S342" s="3"/>
    </row>
    <row r="343" spans="17:19" x14ac:dyDescent="0.2">
      <c r="Q343" s="3"/>
      <c r="S343" s="3"/>
    </row>
    <row r="344" spans="17:19" x14ac:dyDescent="0.2">
      <c r="Q344" s="3"/>
      <c r="S344" s="3"/>
    </row>
    <row r="345" spans="17:19" x14ac:dyDescent="0.2">
      <c r="Q345" s="3"/>
      <c r="S345" s="3"/>
    </row>
    <row r="346" spans="17:19" x14ac:dyDescent="0.2">
      <c r="Q346" s="3"/>
      <c r="S346" s="3"/>
    </row>
    <row r="347" spans="17:19" x14ac:dyDescent="0.2">
      <c r="Q347" s="3"/>
      <c r="S347" s="3"/>
    </row>
    <row r="348" spans="17:19" x14ac:dyDescent="0.2">
      <c r="Q348" s="3"/>
      <c r="S348" s="3"/>
    </row>
    <row r="349" spans="17:19" x14ac:dyDescent="0.2">
      <c r="Q349" s="3"/>
      <c r="S349" s="3"/>
    </row>
    <row r="350" spans="17:19" x14ac:dyDescent="0.2">
      <c r="Q350" s="3"/>
      <c r="S350" s="3"/>
    </row>
    <row r="351" spans="17:19" x14ac:dyDescent="0.2">
      <c r="Q351" s="3"/>
      <c r="S351" s="3"/>
    </row>
    <row r="352" spans="17:19" x14ac:dyDescent="0.2">
      <c r="Q352" s="3"/>
      <c r="S352" s="3"/>
    </row>
    <row r="353" spans="17:19" x14ac:dyDescent="0.2">
      <c r="Q353" s="3"/>
      <c r="S353" s="3"/>
    </row>
    <row r="354" spans="17:19" x14ac:dyDescent="0.2">
      <c r="Q354" s="3"/>
      <c r="S354" s="3"/>
    </row>
    <row r="355" spans="17:19" x14ac:dyDescent="0.2">
      <c r="Q355" s="3"/>
      <c r="S355" s="3"/>
    </row>
    <row r="356" spans="17:19" x14ac:dyDescent="0.2">
      <c r="Q356" s="3"/>
      <c r="S356" s="3"/>
    </row>
    <row r="357" spans="17:19" x14ac:dyDescent="0.2">
      <c r="Q357" s="3"/>
      <c r="S357" s="3"/>
    </row>
    <row r="358" spans="17:19" x14ac:dyDescent="0.2">
      <c r="Q358" s="3"/>
      <c r="S358" s="3"/>
    </row>
    <row r="359" spans="17:19" x14ac:dyDescent="0.2">
      <c r="Q359" s="3"/>
      <c r="S359" s="3"/>
    </row>
    <row r="360" spans="17:19" x14ac:dyDescent="0.2">
      <c r="Q360" s="3"/>
      <c r="S360" s="3"/>
    </row>
    <row r="361" spans="17:19" x14ac:dyDescent="0.2">
      <c r="Q361" s="3"/>
      <c r="S361" s="3"/>
    </row>
    <row r="362" spans="17:19" x14ac:dyDescent="0.2">
      <c r="Q362" s="3"/>
      <c r="S362" s="3"/>
    </row>
    <row r="363" spans="17:19" x14ac:dyDescent="0.2">
      <c r="Q363" s="3"/>
      <c r="S363" s="3"/>
    </row>
    <row r="364" spans="17:19" x14ac:dyDescent="0.2">
      <c r="Q364" s="3"/>
      <c r="S364" s="3"/>
    </row>
    <row r="365" spans="17:19" x14ac:dyDescent="0.2">
      <c r="Q365" s="3"/>
      <c r="S365" s="3"/>
    </row>
    <row r="366" spans="17:19" x14ac:dyDescent="0.2">
      <c r="Q366" s="3"/>
      <c r="S366" s="3"/>
    </row>
    <row r="367" spans="17:19" x14ac:dyDescent="0.2">
      <c r="Q367" s="3"/>
      <c r="S367" s="3"/>
    </row>
    <row r="368" spans="17:19" x14ac:dyDescent="0.2">
      <c r="Q368" s="3"/>
      <c r="S368" s="3"/>
    </row>
    <row r="369" spans="17:19" x14ac:dyDescent="0.2">
      <c r="Q369" s="3"/>
      <c r="S369" s="3"/>
    </row>
    <row r="370" spans="17:19" x14ac:dyDescent="0.2">
      <c r="Q370" s="3"/>
      <c r="S370" s="3"/>
    </row>
    <row r="371" spans="17:19" x14ac:dyDescent="0.2">
      <c r="Q371" s="3"/>
      <c r="S371" s="3"/>
    </row>
    <row r="372" spans="17:19" x14ac:dyDescent="0.2">
      <c r="Q372" s="3"/>
      <c r="S372" s="3"/>
    </row>
    <row r="373" spans="17:19" x14ac:dyDescent="0.2">
      <c r="Q373" s="3"/>
      <c r="S373" s="3"/>
    </row>
    <row r="374" spans="17:19" x14ac:dyDescent="0.2">
      <c r="Q374" s="3"/>
      <c r="S374" s="3"/>
    </row>
    <row r="375" spans="17:19" x14ac:dyDescent="0.2">
      <c r="Q375" s="3"/>
      <c r="S375" s="3"/>
    </row>
    <row r="376" spans="17:19" x14ac:dyDescent="0.2">
      <c r="Q376" s="3"/>
      <c r="S376" s="3"/>
    </row>
    <row r="377" spans="17:19" x14ac:dyDescent="0.2">
      <c r="Q377" s="3"/>
      <c r="S377" s="3"/>
    </row>
    <row r="378" spans="17:19" x14ac:dyDescent="0.2">
      <c r="Q378" s="3"/>
      <c r="S378" s="3"/>
    </row>
    <row r="379" spans="17:19" x14ac:dyDescent="0.2">
      <c r="Q379" s="3"/>
      <c r="S379" s="3"/>
    </row>
    <row r="380" spans="17:19" x14ac:dyDescent="0.2">
      <c r="Q380" s="3"/>
      <c r="S380" s="3"/>
    </row>
    <row r="381" spans="17:19" x14ac:dyDescent="0.2">
      <c r="Q381" s="3"/>
      <c r="S381" s="3"/>
    </row>
    <row r="382" spans="17:19" x14ac:dyDescent="0.2">
      <c r="Q382" s="3"/>
      <c r="S382" s="3"/>
    </row>
    <row r="383" spans="17:19" x14ac:dyDescent="0.2">
      <c r="Q383" s="3"/>
      <c r="S383" s="3"/>
    </row>
    <row r="384" spans="17:19" x14ac:dyDescent="0.2">
      <c r="Q384" s="3"/>
      <c r="S384" s="3"/>
    </row>
    <row r="385" spans="17:19" x14ac:dyDescent="0.2">
      <c r="Q385" s="3"/>
      <c r="S385" s="3"/>
    </row>
    <row r="386" spans="17:19" x14ac:dyDescent="0.2">
      <c r="Q386" s="3"/>
      <c r="S386" s="3"/>
    </row>
    <row r="387" spans="17:19" x14ac:dyDescent="0.2">
      <c r="Q387" s="3"/>
      <c r="S387" s="3"/>
    </row>
    <row r="388" spans="17:19" x14ac:dyDescent="0.2">
      <c r="Q388" s="3"/>
      <c r="S388" s="3"/>
    </row>
    <row r="389" spans="17:19" x14ac:dyDescent="0.2">
      <c r="Q389" s="3"/>
      <c r="S389" s="3"/>
    </row>
    <row r="390" spans="17:19" x14ac:dyDescent="0.2">
      <c r="Q390" s="3"/>
      <c r="S390" s="3"/>
    </row>
    <row r="391" spans="17:19" x14ac:dyDescent="0.2">
      <c r="Q391" s="3"/>
      <c r="S391" s="3"/>
    </row>
    <row r="392" spans="17:19" x14ac:dyDescent="0.2">
      <c r="Q392" s="3"/>
      <c r="S392" s="3"/>
    </row>
    <row r="393" spans="17:19" x14ac:dyDescent="0.2">
      <c r="Q393" s="3"/>
      <c r="S393" s="3"/>
    </row>
    <row r="394" spans="17:19" x14ac:dyDescent="0.2">
      <c r="Q394" s="3"/>
      <c r="S394" s="3"/>
    </row>
    <row r="395" spans="17:19" x14ac:dyDescent="0.2">
      <c r="Q395" s="3"/>
      <c r="S395" s="3"/>
    </row>
    <row r="396" spans="17:19" x14ac:dyDescent="0.2">
      <c r="Q396" s="3"/>
      <c r="S396" s="3"/>
    </row>
    <row r="397" spans="17:19" x14ac:dyDescent="0.2">
      <c r="Q397" s="3"/>
      <c r="S397" s="3"/>
    </row>
    <row r="398" spans="17:19" x14ac:dyDescent="0.2">
      <c r="Q398" s="3"/>
      <c r="S398" s="3"/>
    </row>
    <row r="399" spans="17:19" x14ac:dyDescent="0.2">
      <c r="Q399" s="3"/>
      <c r="S399" s="3"/>
    </row>
    <row r="400" spans="17:19" x14ac:dyDescent="0.2">
      <c r="Q400" s="3"/>
      <c r="S400" s="3"/>
    </row>
    <row r="401" spans="17:19" x14ac:dyDescent="0.2">
      <c r="Q401" s="3"/>
      <c r="S401" s="3"/>
    </row>
    <row r="402" spans="17:19" x14ac:dyDescent="0.2">
      <c r="Q402" s="3"/>
      <c r="S402" s="3"/>
    </row>
    <row r="403" spans="17:19" x14ac:dyDescent="0.2">
      <c r="Q403" s="3"/>
      <c r="S403" s="3"/>
    </row>
    <row r="404" spans="17:19" x14ac:dyDescent="0.2">
      <c r="Q404" s="3"/>
      <c r="S404" s="3"/>
    </row>
    <row r="405" spans="17:19" x14ac:dyDescent="0.2">
      <c r="Q405" s="3"/>
      <c r="S405" s="3"/>
    </row>
    <row r="406" spans="17:19" x14ac:dyDescent="0.2">
      <c r="Q406" s="3"/>
      <c r="S406" s="3"/>
    </row>
    <row r="407" spans="17:19" x14ac:dyDescent="0.2">
      <c r="Q407" s="3"/>
      <c r="S407" s="3"/>
    </row>
    <row r="408" spans="17:19" x14ac:dyDescent="0.2">
      <c r="Q408" s="3"/>
      <c r="S408" s="3"/>
    </row>
    <row r="409" spans="17:19" x14ac:dyDescent="0.2">
      <c r="Q409" s="3"/>
      <c r="S409" s="3"/>
    </row>
    <row r="410" spans="17:19" x14ac:dyDescent="0.2">
      <c r="Q410" s="3"/>
      <c r="S410" s="3"/>
    </row>
    <row r="411" spans="17:19" x14ac:dyDescent="0.2">
      <c r="Q411" s="3"/>
      <c r="S411" s="3"/>
    </row>
    <row r="412" spans="17:19" x14ac:dyDescent="0.2">
      <c r="Q412" s="3"/>
      <c r="S412" s="3"/>
    </row>
    <row r="413" spans="17:19" x14ac:dyDescent="0.2">
      <c r="Q413" s="3"/>
      <c r="S413" s="3"/>
    </row>
    <row r="414" spans="17:19" x14ac:dyDescent="0.2">
      <c r="Q414" s="3"/>
      <c r="S414" s="3"/>
    </row>
    <row r="415" spans="17:19" x14ac:dyDescent="0.2">
      <c r="Q415" s="3"/>
      <c r="S415" s="3"/>
    </row>
    <row r="416" spans="17:19" x14ac:dyDescent="0.2">
      <c r="Q416" s="3"/>
      <c r="S416" s="3"/>
    </row>
    <row r="417" spans="17:19" x14ac:dyDescent="0.2">
      <c r="Q417" s="3"/>
      <c r="S417" s="3"/>
    </row>
    <row r="418" spans="17:19" x14ac:dyDescent="0.2">
      <c r="Q418" s="3"/>
      <c r="S418" s="3"/>
    </row>
    <row r="419" spans="17:19" x14ac:dyDescent="0.2">
      <c r="Q419" s="3"/>
      <c r="S419" s="3"/>
    </row>
    <row r="420" spans="17:19" x14ac:dyDescent="0.2">
      <c r="Q420" s="3"/>
      <c r="S420" s="3"/>
    </row>
    <row r="421" spans="17:19" x14ac:dyDescent="0.2">
      <c r="Q421" s="3"/>
      <c r="S421" s="3"/>
    </row>
    <row r="422" spans="17:19" x14ac:dyDescent="0.2">
      <c r="Q422" s="3"/>
      <c r="S422" s="3"/>
    </row>
    <row r="423" spans="17:19" x14ac:dyDescent="0.2">
      <c r="Q423" s="3"/>
      <c r="S423" s="3"/>
    </row>
    <row r="424" spans="17:19" x14ac:dyDescent="0.2">
      <c r="Q424" s="3"/>
      <c r="S424" s="3"/>
    </row>
    <row r="425" spans="17:19" x14ac:dyDescent="0.2">
      <c r="Q425" s="3"/>
      <c r="S425" s="3"/>
    </row>
    <row r="426" spans="17:19" x14ac:dyDescent="0.2">
      <c r="Q426" s="3"/>
      <c r="S426" s="3"/>
    </row>
    <row r="427" spans="17:19" x14ac:dyDescent="0.2">
      <c r="Q427" s="3"/>
      <c r="S427" s="3"/>
    </row>
    <row r="428" spans="17:19" x14ac:dyDescent="0.2">
      <c r="Q428" s="3"/>
      <c r="S428" s="3"/>
    </row>
    <row r="429" spans="17:19" x14ac:dyDescent="0.2">
      <c r="Q429" s="3"/>
      <c r="S429" s="3"/>
    </row>
    <row r="430" spans="17:19" x14ac:dyDescent="0.2">
      <c r="Q430" s="3"/>
      <c r="S430" s="3"/>
    </row>
    <row r="431" spans="17:19" x14ac:dyDescent="0.2">
      <c r="Q431" s="3"/>
      <c r="S431" s="3"/>
    </row>
    <row r="432" spans="17:19" x14ac:dyDescent="0.2">
      <c r="Q432" s="3"/>
      <c r="S432" s="3"/>
    </row>
    <row r="433" spans="17:19" x14ac:dyDescent="0.2">
      <c r="Q433" s="3"/>
      <c r="S433" s="3"/>
    </row>
    <row r="434" spans="17:19" x14ac:dyDescent="0.2">
      <c r="Q434" s="3"/>
      <c r="S434" s="3"/>
    </row>
    <row r="435" spans="17:19" x14ac:dyDescent="0.2">
      <c r="Q435" s="3"/>
      <c r="S435" s="3"/>
    </row>
    <row r="436" spans="17:19" x14ac:dyDescent="0.2">
      <c r="Q436" s="3"/>
      <c r="S436" s="3"/>
    </row>
    <row r="437" spans="17:19" x14ac:dyDescent="0.2">
      <c r="Q437" s="3"/>
      <c r="S437" s="3"/>
    </row>
    <row r="438" spans="17:19" x14ac:dyDescent="0.2">
      <c r="Q438" s="3"/>
      <c r="S438" s="3"/>
    </row>
    <row r="439" spans="17:19" x14ac:dyDescent="0.2">
      <c r="Q439" s="3"/>
      <c r="S439" s="3"/>
    </row>
    <row r="440" spans="17:19" x14ac:dyDescent="0.2">
      <c r="Q440" s="3"/>
      <c r="S440" s="3"/>
    </row>
    <row r="441" spans="17:19" x14ac:dyDescent="0.2">
      <c r="Q441" s="3"/>
      <c r="S441" s="3"/>
    </row>
    <row r="442" spans="17:19" x14ac:dyDescent="0.2">
      <c r="Q442" s="3"/>
      <c r="S442" s="3"/>
    </row>
    <row r="443" spans="17:19" x14ac:dyDescent="0.2">
      <c r="Q443" s="3"/>
      <c r="S443" s="3"/>
    </row>
    <row r="444" spans="17:19" x14ac:dyDescent="0.2">
      <c r="Q444" s="3"/>
      <c r="S444" s="3"/>
    </row>
    <row r="445" spans="17:19" x14ac:dyDescent="0.2">
      <c r="Q445" s="3"/>
      <c r="S445" s="3"/>
    </row>
    <row r="446" spans="17:19" x14ac:dyDescent="0.2">
      <c r="Q446" s="3"/>
      <c r="S446" s="3"/>
    </row>
    <row r="447" spans="17:19" x14ac:dyDescent="0.2">
      <c r="Q447" s="3"/>
      <c r="S447" s="3"/>
    </row>
    <row r="448" spans="17:19" x14ac:dyDescent="0.2">
      <c r="Q448" s="3"/>
      <c r="S448" s="3"/>
    </row>
    <row r="449" spans="17:19" x14ac:dyDescent="0.2">
      <c r="Q449" s="3"/>
      <c r="S449" s="3"/>
    </row>
    <row r="450" spans="17:19" x14ac:dyDescent="0.2">
      <c r="Q450" s="3"/>
      <c r="S450" s="3"/>
    </row>
    <row r="451" spans="17:19" x14ac:dyDescent="0.2">
      <c r="Q451" s="3"/>
      <c r="S451" s="3"/>
    </row>
    <row r="452" spans="17:19" x14ac:dyDescent="0.2">
      <c r="Q452" s="3"/>
      <c r="S452" s="3"/>
    </row>
    <row r="453" spans="17:19" x14ac:dyDescent="0.2">
      <c r="Q453" s="3"/>
      <c r="S453" s="3"/>
    </row>
    <row r="454" spans="17:19" x14ac:dyDescent="0.2">
      <c r="Q454" s="3"/>
      <c r="S454" s="3"/>
    </row>
    <row r="455" spans="17:19" x14ac:dyDescent="0.2">
      <c r="Q455" s="3"/>
      <c r="S455" s="3"/>
    </row>
    <row r="456" spans="17:19" x14ac:dyDescent="0.2">
      <c r="Q456" s="3"/>
      <c r="S456" s="3"/>
    </row>
    <row r="457" spans="17:19" x14ac:dyDescent="0.2">
      <c r="Q457" s="3"/>
      <c r="S457" s="3"/>
    </row>
    <row r="458" spans="17:19" x14ac:dyDescent="0.2">
      <c r="Q458" s="3"/>
      <c r="S458" s="3"/>
    </row>
    <row r="459" spans="17:19" x14ac:dyDescent="0.2">
      <c r="Q459" s="3"/>
      <c r="S459" s="3"/>
    </row>
    <row r="460" spans="17:19" x14ac:dyDescent="0.2">
      <c r="Q460" s="3"/>
      <c r="S460" s="3"/>
    </row>
    <row r="461" spans="17:19" x14ac:dyDescent="0.2">
      <c r="Q461" s="3"/>
      <c r="S461" s="3"/>
    </row>
    <row r="462" spans="17:19" x14ac:dyDescent="0.2">
      <c r="Q462" s="3"/>
      <c r="S462" s="3"/>
    </row>
    <row r="463" spans="17:19" x14ac:dyDescent="0.2">
      <c r="Q463" s="3"/>
      <c r="S463" s="3"/>
    </row>
    <row r="464" spans="17:19" x14ac:dyDescent="0.2">
      <c r="Q464" s="3"/>
      <c r="S464" s="3"/>
    </row>
    <row r="465" spans="17:19" x14ac:dyDescent="0.2">
      <c r="Q465" s="3"/>
      <c r="S465" s="3"/>
    </row>
    <row r="466" spans="17:19" x14ac:dyDescent="0.2">
      <c r="Q466" s="3"/>
      <c r="S466" s="3"/>
    </row>
    <row r="467" spans="17:19" x14ac:dyDescent="0.2">
      <c r="Q467" s="3"/>
      <c r="S467" s="3"/>
    </row>
    <row r="468" spans="17:19" x14ac:dyDescent="0.2">
      <c r="Q468" s="3"/>
      <c r="S468" s="3"/>
    </row>
    <row r="469" spans="17:19" x14ac:dyDescent="0.2">
      <c r="Q469" s="3"/>
      <c r="S469" s="3"/>
    </row>
    <row r="470" spans="17:19" x14ac:dyDescent="0.2">
      <c r="Q470" s="3"/>
      <c r="S470" s="3"/>
    </row>
    <row r="471" spans="17:19" x14ac:dyDescent="0.2">
      <c r="Q471" s="3"/>
      <c r="S471" s="3"/>
    </row>
    <row r="472" spans="17:19" x14ac:dyDescent="0.2">
      <c r="Q472" s="3"/>
      <c r="S472" s="3"/>
    </row>
    <row r="473" spans="17:19" x14ac:dyDescent="0.2">
      <c r="Q473" s="3"/>
      <c r="S473" s="3"/>
    </row>
    <row r="474" spans="17:19" x14ac:dyDescent="0.2">
      <c r="Q474" s="3"/>
      <c r="S474" s="3"/>
    </row>
    <row r="475" spans="17:19" x14ac:dyDescent="0.2">
      <c r="Q475" s="3"/>
      <c r="S475" s="3"/>
    </row>
    <row r="476" spans="17:19" x14ac:dyDescent="0.2">
      <c r="Q476" s="3"/>
      <c r="S476" s="3"/>
    </row>
    <row r="477" spans="17:19" x14ac:dyDescent="0.2">
      <c r="Q477" s="3"/>
      <c r="S477" s="3"/>
    </row>
    <row r="478" spans="17:19" x14ac:dyDescent="0.2">
      <c r="Q478" s="3"/>
      <c r="S478" s="3"/>
    </row>
    <row r="479" spans="17:19" x14ac:dyDescent="0.2">
      <c r="Q479" s="3"/>
      <c r="S479" s="3"/>
    </row>
    <row r="480" spans="17:19" x14ac:dyDescent="0.2">
      <c r="Q480" s="3"/>
      <c r="S480" s="3"/>
    </row>
    <row r="481" spans="17:19" x14ac:dyDescent="0.2">
      <c r="Q481" s="3"/>
      <c r="S481" s="3"/>
    </row>
    <row r="482" spans="17:19" x14ac:dyDescent="0.2">
      <c r="Q482" s="3"/>
      <c r="S482" s="3"/>
    </row>
    <row r="483" spans="17:19" x14ac:dyDescent="0.2">
      <c r="Q483" s="3"/>
      <c r="S483" s="3"/>
    </row>
    <row r="484" spans="17:19" x14ac:dyDescent="0.2">
      <c r="Q484" s="3"/>
      <c r="S484" s="3"/>
    </row>
    <row r="485" spans="17:19" x14ac:dyDescent="0.2">
      <c r="Q485" s="3"/>
      <c r="S485" s="3"/>
    </row>
    <row r="486" spans="17:19" x14ac:dyDescent="0.2">
      <c r="Q486" s="3"/>
      <c r="S486" s="3"/>
    </row>
    <row r="487" spans="17:19" x14ac:dyDescent="0.2">
      <c r="Q487" s="3"/>
      <c r="S487" s="3"/>
    </row>
    <row r="488" spans="17:19" x14ac:dyDescent="0.2">
      <c r="Q488" s="3"/>
      <c r="S488" s="3"/>
    </row>
    <row r="489" spans="17:19" x14ac:dyDescent="0.2">
      <c r="Q489" s="3"/>
      <c r="S489" s="3"/>
    </row>
    <row r="490" spans="17:19" x14ac:dyDescent="0.2">
      <c r="Q490" s="3"/>
      <c r="S490" s="3"/>
    </row>
    <row r="491" spans="17:19" x14ac:dyDescent="0.2">
      <c r="Q491" s="3"/>
      <c r="S491" s="3"/>
    </row>
    <row r="492" spans="17:19" x14ac:dyDescent="0.2">
      <c r="Q492" s="3"/>
      <c r="S492" s="3"/>
    </row>
    <row r="493" spans="17:19" x14ac:dyDescent="0.2">
      <c r="Q493" s="3"/>
      <c r="S493" s="3"/>
    </row>
    <row r="494" spans="17:19" x14ac:dyDescent="0.2">
      <c r="Q494" s="3"/>
      <c r="S494" s="3"/>
    </row>
    <row r="495" spans="17:19" x14ac:dyDescent="0.2">
      <c r="Q495" s="3"/>
      <c r="S495" s="3"/>
    </row>
    <row r="496" spans="17:19" x14ac:dyDescent="0.2">
      <c r="Q496" s="3"/>
      <c r="S496" s="3"/>
    </row>
    <row r="497" spans="17:19" x14ac:dyDescent="0.2">
      <c r="Q497" s="3"/>
      <c r="S497" s="3"/>
    </row>
    <row r="498" spans="17:19" x14ac:dyDescent="0.2">
      <c r="Q498" s="3"/>
      <c r="S498" s="3"/>
    </row>
    <row r="499" spans="17:19" x14ac:dyDescent="0.2">
      <c r="Q499" s="3"/>
      <c r="S499" s="3"/>
    </row>
    <row r="500" spans="17:19" x14ac:dyDescent="0.2">
      <c r="Q500" s="3"/>
      <c r="S500" s="3"/>
    </row>
    <row r="501" spans="17:19" x14ac:dyDescent="0.2">
      <c r="Q501" s="3"/>
      <c r="S501" s="3"/>
    </row>
    <row r="502" spans="17:19" x14ac:dyDescent="0.2">
      <c r="Q502" s="3"/>
      <c r="S502" s="3"/>
    </row>
    <row r="503" spans="17:19" x14ac:dyDescent="0.2">
      <c r="Q503" s="3"/>
      <c r="S503" s="3"/>
    </row>
    <row r="504" spans="17:19" x14ac:dyDescent="0.2">
      <c r="Q504" s="3"/>
      <c r="S504" s="3"/>
    </row>
    <row r="505" spans="17:19" x14ac:dyDescent="0.2">
      <c r="Q505" s="3"/>
      <c r="S505" s="3"/>
    </row>
    <row r="506" spans="17:19" x14ac:dyDescent="0.2">
      <c r="Q506" s="3"/>
      <c r="S506" s="3"/>
    </row>
    <row r="507" spans="17:19" x14ac:dyDescent="0.2">
      <c r="Q507" s="3"/>
      <c r="S507" s="3"/>
    </row>
    <row r="508" spans="17:19" x14ac:dyDescent="0.2">
      <c r="Q508" s="3"/>
      <c r="S508" s="3"/>
    </row>
    <row r="509" spans="17:19" x14ac:dyDescent="0.2">
      <c r="Q509" s="3"/>
      <c r="S509" s="3"/>
    </row>
    <row r="510" spans="17:19" x14ac:dyDescent="0.2">
      <c r="Q510" s="3"/>
      <c r="S510" s="3"/>
    </row>
    <row r="511" spans="17:19" x14ac:dyDescent="0.2">
      <c r="Q511" s="3"/>
      <c r="S511" s="3"/>
    </row>
    <row r="512" spans="17:19" x14ac:dyDescent="0.2">
      <c r="Q512" s="3"/>
      <c r="S512" s="3"/>
    </row>
    <row r="513" spans="17:19" x14ac:dyDescent="0.2">
      <c r="Q513" s="3"/>
      <c r="S513" s="3"/>
    </row>
    <row r="514" spans="17:19" x14ac:dyDescent="0.2">
      <c r="Q514" s="3"/>
      <c r="S514" s="3"/>
    </row>
    <row r="515" spans="17:19" x14ac:dyDescent="0.2">
      <c r="Q515" s="3"/>
      <c r="S515" s="3"/>
    </row>
    <row r="516" spans="17:19" x14ac:dyDescent="0.2">
      <c r="Q516" s="3"/>
      <c r="S516" s="3"/>
    </row>
    <row r="517" spans="17:19" x14ac:dyDescent="0.2">
      <c r="Q517" s="3"/>
      <c r="S517" s="3"/>
    </row>
    <row r="518" spans="17:19" x14ac:dyDescent="0.2">
      <c r="Q518" s="3"/>
      <c r="S518" s="3"/>
    </row>
    <row r="519" spans="17:19" x14ac:dyDescent="0.2">
      <c r="Q519" s="3"/>
      <c r="S519" s="3"/>
    </row>
    <row r="520" spans="17:19" x14ac:dyDescent="0.2">
      <c r="Q520" s="3"/>
      <c r="S520" s="3"/>
    </row>
    <row r="521" spans="17:19" x14ac:dyDescent="0.2">
      <c r="Q521" s="3"/>
      <c r="S521" s="3"/>
    </row>
    <row r="522" spans="17:19" x14ac:dyDescent="0.2">
      <c r="Q522" s="3"/>
      <c r="S522" s="3"/>
    </row>
    <row r="523" spans="17:19" x14ac:dyDescent="0.2">
      <c r="Q523" s="3"/>
      <c r="S523" s="3"/>
    </row>
    <row r="524" spans="17:19" x14ac:dyDescent="0.2">
      <c r="Q524" s="3"/>
      <c r="S524" s="3"/>
    </row>
    <row r="525" spans="17:19" x14ac:dyDescent="0.2">
      <c r="Q525" s="3"/>
      <c r="S525" s="3"/>
    </row>
    <row r="526" spans="17:19" x14ac:dyDescent="0.2">
      <c r="Q526" s="3"/>
      <c r="S526" s="3"/>
    </row>
    <row r="527" spans="17:19" x14ac:dyDescent="0.2">
      <c r="Q527" s="3"/>
      <c r="S527" s="3"/>
    </row>
    <row r="528" spans="17:19" x14ac:dyDescent="0.2">
      <c r="Q528" s="3"/>
      <c r="S528" s="3"/>
    </row>
    <row r="529" spans="17:19" x14ac:dyDescent="0.2">
      <c r="Q529" s="3"/>
      <c r="S529" s="3"/>
    </row>
    <row r="530" spans="17:19" x14ac:dyDescent="0.2">
      <c r="Q530" s="3"/>
      <c r="S530" s="3"/>
    </row>
    <row r="531" spans="17:19" x14ac:dyDescent="0.2">
      <c r="Q531" s="3"/>
      <c r="S531" s="3"/>
    </row>
    <row r="532" spans="17:19" x14ac:dyDescent="0.2">
      <c r="Q532" s="3"/>
      <c r="S532" s="3"/>
    </row>
    <row r="533" spans="17:19" x14ac:dyDescent="0.2">
      <c r="Q533" s="3"/>
      <c r="S533" s="3"/>
    </row>
    <row r="534" spans="17:19" x14ac:dyDescent="0.2">
      <c r="Q534" s="3"/>
      <c r="S534" s="3"/>
    </row>
    <row r="535" spans="17:19" x14ac:dyDescent="0.2">
      <c r="Q535" s="3"/>
      <c r="S535" s="3"/>
    </row>
    <row r="536" spans="17:19" x14ac:dyDescent="0.2">
      <c r="Q536" s="3"/>
      <c r="S536" s="3"/>
    </row>
    <row r="537" spans="17:19" x14ac:dyDescent="0.2">
      <c r="Q537" s="3"/>
      <c r="S537" s="3"/>
    </row>
    <row r="538" spans="17:19" x14ac:dyDescent="0.2">
      <c r="Q538" s="3"/>
      <c r="S538" s="3"/>
    </row>
    <row r="539" spans="17:19" x14ac:dyDescent="0.2">
      <c r="Q539" s="3"/>
      <c r="S539" s="3"/>
    </row>
    <row r="540" spans="17:19" x14ac:dyDescent="0.2">
      <c r="Q540" s="3"/>
      <c r="S540" s="3"/>
    </row>
    <row r="541" spans="17:19" x14ac:dyDescent="0.2">
      <c r="Q541" s="3"/>
      <c r="S541" s="3"/>
    </row>
    <row r="542" spans="17:19" x14ac:dyDescent="0.2">
      <c r="Q542" s="3"/>
      <c r="S542" s="3"/>
    </row>
    <row r="543" spans="17:19" x14ac:dyDescent="0.2">
      <c r="Q543" s="3"/>
      <c r="S543" s="3"/>
    </row>
    <row r="544" spans="17:19" x14ac:dyDescent="0.2">
      <c r="Q544" s="3"/>
      <c r="S544" s="3"/>
    </row>
    <row r="545" spans="17:19" x14ac:dyDescent="0.2">
      <c r="Q545" s="3"/>
      <c r="S545" s="3"/>
    </row>
    <row r="546" spans="17:19" x14ac:dyDescent="0.2">
      <c r="Q546" s="3"/>
      <c r="S546" s="3"/>
    </row>
    <row r="547" spans="17:19" x14ac:dyDescent="0.2">
      <c r="Q547" s="3"/>
      <c r="S547" s="3"/>
    </row>
    <row r="548" spans="17:19" x14ac:dyDescent="0.2">
      <c r="Q548" s="3"/>
      <c r="S548" s="3"/>
    </row>
    <row r="549" spans="17:19" x14ac:dyDescent="0.2">
      <c r="Q549" s="3"/>
      <c r="S549" s="3"/>
    </row>
    <row r="550" spans="17:19" x14ac:dyDescent="0.2">
      <c r="Q550" s="3"/>
      <c r="S550" s="3"/>
    </row>
    <row r="551" spans="17:19" x14ac:dyDescent="0.2">
      <c r="Q551" s="3"/>
      <c r="S551" s="3"/>
    </row>
    <row r="552" spans="17:19" x14ac:dyDescent="0.2">
      <c r="Q552" s="3"/>
      <c r="S552" s="3"/>
    </row>
    <row r="553" spans="17:19" x14ac:dyDescent="0.2">
      <c r="Q553" s="3"/>
      <c r="S553" s="3"/>
    </row>
    <row r="554" spans="17:19" x14ac:dyDescent="0.2">
      <c r="Q554" s="3"/>
      <c r="S554" s="3"/>
    </row>
    <row r="555" spans="17:19" x14ac:dyDescent="0.2">
      <c r="Q555" s="3"/>
      <c r="S555" s="3"/>
    </row>
    <row r="556" spans="17:19" x14ac:dyDescent="0.2">
      <c r="Q556" s="3"/>
      <c r="S556" s="3"/>
    </row>
    <row r="557" spans="17:19" x14ac:dyDescent="0.2">
      <c r="Q557" s="3"/>
      <c r="S557" s="3"/>
    </row>
    <row r="558" spans="17:19" x14ac:dyDescent="0.2">
      <c r="Q558" s="3"/>
      <c r="S558" s="3"/>
    </row>
    <row r="559" spans="17:19" x14ac:dyDescent="0.2">
      <c r="Q559" s="3"/>
      <c r="S559" s="3"/>
    </row>
    <row r="560" spans="17:19" x14ac:dyDescent="0.2">
      <c r="Q560" s="3"/>
      <c r="S560" s="3"/>
    </row>
    <row r="561" spans="17:19" x14ac:dyDescent="0.2">
      <c r="Q561" s="3"/>
      <c r="S561" s="3"/>
    </row>
    <row r="562" spans="17:19" x14ac:dyDescent="0.2">
      <c r="Q562" s="3"/>
      <c r="S562" s="3"/>
    </row>
    <row r="563" spans="17:19" x14ac:dyDescent="0.2">
      <c r="Q563" s="3"/>
      <c r="S563" s="3"/>
    </row>
    <row r="564" spans="17:19" x14ac:dyDescent="0.2">
      <c r="Q564" s="3"/>
      <c r="S564" s="3"/>
    </row>
    <row r="565" spans="17:19" x14ac:dyDescent="0.2">
      <c r="Q565" s="3"/>
      <c r="S565" s="3"/>
    </row>
    <row r="566" spans="17:19" x14ac:dyDescent="0.2">
      <c r="Q566" s="3"/>
      <c r="S566" s="3"/>
    </row>
    <row r="567" spans="17:19" x14ac:dyDescent="0.2">
      <c r="Q567" s="3"/>
      <c r="S567" s="3"/>
    </row>
    <row r="568" spans="17:19" x14ac:dyDescent="0.2">
      <c r="Q568" s="3"/>
      <c r="S568" s="3"/>
    </row>
    <row r="569" spans="17:19" x14ac:dyDescent="0.2">
      <c r="Q569" s="3"/>
      <c r="S569" s="3"/>
    </row>
    <row r="570" spans="17:19" x14ac:dyDescent="0.2">
      <c r="Q570" s="3"/>
      <c r="S570" s="3"/>
    </row>
    <row r="571" spans="17:19" x14ac:dyDescent="0.2">
      <c r="Q571" s="3"/>
      <c r="S571" s="3"/>
    </row>
    <row r="572" spans="17:19" x14ac:dyDescent="0.2">
      <c r="Q572" s="3"/>
      <c r="S572" s="3"/>
    </row>
    <row r="573" spans="17:19" x14ac:dyDescent="0.2">
      <c r="Q573" s="3"/>
      <c r="S573" s="3"/>
    </row>
    <row r="574" spans="17:19" x14ac:dyDescent="0.2">
      <c r="Q574" s="3"/>
      <c r="S574" s="3"/>
    </row>
    <row r="575" spans="17:19" x14ac:dyDescent="0.2">
      <c r="Q575" s="3"/>
      <c r="S575" s="3"/>
    </row>
    <row r="576" spans="17:19" x14ac:dyDescent="0.2">
      <c r="Q576" s="3"/>
      <c r="S576" s="3"/>
    </row>
    <row r="577" spans="17:19" x14ac:dyDescent="0.2">
      <c r="Q577" s="3"/>
      <c r="S577" s="3"/>
    </row>
    <row r="578" spans="17:19" x14ac:dyDescent="0.2">
      <c r="Q578" s="3"/>
      <c r="S578" s="3"/>
    </row>
    <row r="579" spans="17:19" x14ac:dyDescent="0.2">
      <c r="Q579" s="3"/>
      <c r="S579" s="3"/>
    </row>
    <row r="580" spans="17:19" x14ac:dyDescent="0.2">
      <c r="Q580" s="3"/>
      <c r="S580" s="3"/>
    </row>
    <row r="581" spans="17:19" x14ac:dyDescent="0.2">
      <c r="Q581" s="3"/>
      <c r="S581" s="3"/>
    </row>
    <row r="582" spans="17:19" x14ac:dyDescent="0.2">
      <c r="Q582" s="3"/>
      <c r="S582" s="3"/>
    </row>
    <row r="583" spans="17:19" x14ac:dyDescent="0.2">
      <c r="Q583" s="3"/>
      <c r="S583" s="3"/>
    </row>
    <row r="584" spans="17:19" x14ac:dyDescent="0.2">
      <c r="Q584" s="3"/>
      <c r="S584" s="3"/>
    </row>
    <row r="585" spans="17:19" x14ac:dyDescent="0.2">
      <c r="Q585" s="3"/>
      <c r="S585" s="3"/>
    </row>
    <row r="586" spans="17:19" x14ac:dyDescent="0.2">
      <c r="Q586" s="3"/>
      <c r="S586" s="3"/>
    </row>
    <row r="587" spans="17:19" x14ac:dyDescent="0.2">
      <c r="Q587" s="3"/>
      <c r="S587" s="3"/>
    </row>
    <row r="588" spans="17:19" x14ac:dyDescent="0.2">
      <c r="Q588" s="3"/>
      <c r="S588" s="3"/>
    </row>
    <row r="589" spans="17:19" x14ac:dyDescent="0.2">
      <c r="Q589" s="3"/>
      <c r="S589" s="3"/>
    </row>
    <row r="590" spans="17:19" x14ac:dyDescent="0.2">
      <c r="Q590" s="3"/>
      <c r="S590" s="3"/>
    </row>
    <row r="591" spans="17:19" x14ac:dyDescent="0.2">
      <c r="Q591" s="3"/>
      <c r="S591" s="3"/>
    </row>
    <row r="592" spans="17:19" x14ac:dyDescent="0.2">
      <c r="Q592" s="3"/>
      <c r="S592" s="3"/>
    </row>
    <row r="593" spans="17:19" x14ac:dyDescent="0.2">
      <c r="Q593" s="3"/>
      <c r="S593" s="3"/>
    </row>
    <row r="594" spans="17:19" x14ac:dyDescent="0.2">
      <c r="Q594" s="3"/>
      <c r="S594" s="3"/>
    </row>
    <row r="595" spans="17:19" x14ac:dyDescent="0.2">
      <c r="Q595" s="3"/>
      <c r="S595" s="3"/>
    </row>
    <row r="596" spans="17:19" x14ac:dyDescent="0.2">
      <c r="Q596" s="3"/>
      <c r="S596" s="3"/>
    </row>
    <row r="597" spans="17:19" x14ac:dyDescent="0.2">
      <c r="Q597" s="3"/>
      <c r="S597" s="3"/>
    </row>
    <row r="598" spans="17:19" x14ac:dyDescent="0.2">
      <c r="Q598" s="3"/>
      <c r="S598" s="3"/>
    </row>
    <row r="599" spans="17:19" x14ac:dyDescent="0.2">
      <c r="Q599" s="3"/>
      <c r="S599" s="3"/>
    </row>
    <row r="600" spans="17:19" x14ac:dyDescent="0.2">
      <c r="Q600" s="3"/>
      <c r="S600" s="3"/>
    </row>
    <row r="601" spans="17:19" x14ac:dyDescent="0.2">
      <c r="Q601" s="3"/>
      <c r="S601" s="3"/>
    </row>
    <row r="602" spans="17:19" x14ac:dyDescent="0.2">
      <c r="Q602" s="3"/>
      <c r="S602" s="3"/>
    </row>
    <row r="603" spans="17:19" x14ac:dyDescent="0.2">
      <c r="Q603" s="3"/>
      <c r="S603" s="3"/>
    </row>
    <row r="604" spans="17:19" x14ac:dyDescent="0.2">
      <c r="Q604" s="3"/>
      <c r="S604" s="3"/>
    </row>
    <row r="605" spans="17:19" x14ac:dyDescent="0.2">
      <c r="Q605" s="3"/>
      <c r="S605" s="3"/>
    </row>
    <row r="606" spans="17:19" x14ac:dyDescent="0.2">
      <c r="Q606" s="3"/>
      <c r="S606" s="3"/>
    </row>
    <row r="607" spans="17:19" x14ac:dyDescent="0.2">
      <c r="Q607" s="3"/>
      <c r="S607" s="3"/>
    </row>
    <row r="608" spans="17:19" x14ac:dyDescent="0.2">
      <c r="Q608" s="3"/>
      <c r="S608" s="3"/>
    </row>
    <row r="609" spans="17:19" x14ac:dyDescent="0.2">
      <c r="Q609" s="3"/>
      <c r="S609" s="3"/>
    </row>
    <row r="610" spans="17:19" x14ac:dyDescent="0.2">
      <c r="Q610" s="3"/>
      <c r="S610" s="3"/>
    </row>
    <row r="611" spans="17:19" x14ac:dyDescent="0.2">
      <c r="Q611" s="3"/>
      <c r="S611" s="3"/>
    </row>
    <row r="612" spans="17:19" x14ac:dyDescent="0.2">
      <c r="Q612" s="3"/>
      <c r="S612" s="3"/>
    </row>
    <row r="613" spans="17:19" x14ac:dyDescent="0.2">
      <c r="Q613" s="3"/>
      <c r="S613" s="3"/>
    </row>
    <row r="614" spans="17:19" x14ac:dyDescent="0.2">
      <c r="Q614" s="3"/>
      <c r="S614" s="3"/>
    </row>
    <row r="615" spans="17:19" x14ac:dyDescent="0.2">
      <c r="Q615" s="3"/>
      <c r="S615" s="3"/>
    </row>
    <row r="616" spans="17:19" x14ac:dyDescent="0.2">
      <c r="Q616" s="3"/>
      <c r="S616" s="3"/>
    </row>
    <row r="617" spans="17:19" x14ac:dyDescent="0.2">
      <c r="Q617" s="3"/>
      <c r="S617" s="3"/>
    </row>
    <row r="618" spans="17:19" x14ac:dyDescent="0.2">
      <c r="Q618" s="3"/>
      <c r="S618" s="3"/>
    </row>
    <row r="619" spans="17:19" x14ac:dyDescent="0.2">
      <c r="Q619" s="3"/>
      <c r="S619" s="3"/>
    </row>
    <row r="620" spans="17:19" x14ac:dyDescent="0.2">
      <c r="Q620" s="3"/>
      <c r="S620" s="3"/>
    </row>
    <row r="621" spans="17:19" x14ac:dyDescent="0.2">
      <c r="Q621" s="3"/>
      <c r="S621" s="3"/>
    </row>
    <row r="622" spans="17:19" x14ac:dyDescent="0.2">
      <c r="Q622" s="3"/>
      <c r="S622" s="3"/>
    </row>
    <row r="623" spans="17:19" x14ac:dyDescent="0.2">
      <c r="Q623" s="3"/>
      <c r="S623" s="3"/>
    </row>
    <row r="624" spans="17:19" x14ac:dyDescent="0.2">
      <c r="Q624" s="3"/>
      <c r="S624" s="3"/>
    </row>
    <row r="625" spans="17:19" x14ac:dyDescent="0.2">
      <c r="Q625" s="3"/>
      <c r="S625" s="3"/>
    </row>
    <row r="626" spans="17:19" x14ac:dyDescent="0.2">
      <c r="Q626" s="3"/>
      <c r="S626" s="3"/>
    </row>
    <row r="627" spans="17:19" x14ac:dyDescent="0.2">
      <c r="Q627" s="3"/>
      <c r="S627" s="3"/>
    </row>
    <row r="628" spans="17:19" x14ac:dyDescent="0.2">
      <c r="Q628" s="3"/>
      <c r="S628" s="3"/>
    </row>
    <row r="629" spans="17:19" x14ac:dyDescent="0.2">
      <c r="Q629" s="3"/>
      <c r="S629" s="3"/>
    </row>
    <row r="630" spans="17:19" x14ac:dyDescent="0.2">
      <c r="Q630" s="3"/>
      <c r="S630" s="3"/>
    </row>
    <row r="631" spans="17:19" x14ac:dyDescent="0.2">
      <c r="Q631" s="3"/>
      <c r="S631" s="3"/>
    </row>
    <row r="632" spans="17:19" x14ac:dyDescent="0.2">
      <c r="Q632" s="3"/>
      <c r="S632" s="3"/>
    </row>
    <row r="633" spans="17:19" x14ac:dyDescent="0.2">
      <c r="Q633" s="3"/>
      <c r="S633" s="3"/>
    </row>
    <row r="634" spans="17:19" x14ac:dyDescent="0.2">
      <c r="Q634" s="3"/>
      <c r="S634" s="3"/>
    </row>
    <row r="635" spans="17:19" x14ac:dyDescent="0.2">
      <c r="Q635" s="3"/>
      <c r="S635" s="3"/>
    </row>
    <row r="636" spans="17:19" x14ac:dyDescent="0.2">
      <c r="Q636" s="3"/>
      <c r="S636" s="3"/>
    </row>
    <row r="637" spans="17:19" x14ac:dyDescent="0.2">
      <c r="Q637" s="3"/>
      <c r="S637" s="3"/>
    </row>
    <row r="638" spans="17:19" x14ac:dyDescent="0.2">
      <c r="Q638" s="3"/>
      <c r="S638" s="3"/>
    </row>
    <row r="639" spans="17:19" x14ac:dyDescent="0.2">
      <c r="Q639" s="3"/>
      <c r="S639" s="3"/>
    </row>
    <row r="640" spans="17:19" x14ac:dyDescent="0.2">
      <c r="Q640" s="3"/>
      <c r="S640" s="3"/>
    </row>
    <row r="641" spans="17:19" x14ac:dyDescent="0.2">
      <c r="Q641" s="3"/>
      <c r="S641" s="3"/>
    </row>
    <row r="642" spans="17:19" x14ac:dyDescent="0.2">
      <c r="Q642" s="3"/>
      <c r="S642" s="3"/>
    </row>
    <row r="643" spans="17:19" x14ac:dyDescent="0.2">
      <c r="Q643" s="3"/>
      <c r="S643" s="3"/>
    </row>
    <row r="644" spans="17:19" x14ac:dyDescent="0.2">
      <c r="Q644" s="3"/>
      <c r="S644" s="3"/>
    </row>
    <row r="645" spans="17:19" x14ac:dyDescent="0.2">
      <c r="Q645" s="3"/>
      <c r="S645" s="3"/>
    </row>
    <row r="646" spans="17:19" x14ac:dyDescent="0.2">
      <c r="Q646" s="3"/>
      <c r="S646" s="3"/>
    </row>
    <row r="647" spans="17:19" x14ac:dyDescent="0.2">
      <c r="Q647" s="3"/>
      <c r="S647" s="3"/>
    </row>
    <row r="648" spans="17:19" x14ac:dyDescent="0.2">
      <c r="Q648" s="3"/>
      <c r="S648" s="3"/>
    </row>
    <row r="649" spans="17:19" x14ac:dyDescent="0.2">
      <c r="Q649" s="3"/>
      <c r="S649" s="3"/>
    </row>
    <row r="650" spans="17:19" x14ac:dyDescent="0.2">
      <c r="Q650" s="3"/>
      <c r="S650" s="3"/>
    </row>
    <row r="651" spans="17:19" x14ac:dyDescent="0.2">
      <c r="Q651" s="3"/>
      <c r="S651" s="3"/>
    </row>
    <row r="652" spans="17:19" x14ac:dyDescent="0.2">
      <c r="Q652" s="3"/>
      <c r="S652" s="3"/>
    </row>
    <row r="653" spans="17:19" x14ac:dyDescent="0.2">
      <c r="Q653" s="3"/>
      <c r="S653" s="3"/>
    </row>
    <row r="654" spans="17:19" x14ac:dyDescent="0.2">
      <c r="Q654" s="3"/>
      <c r="S654" s="3"/>
    </row>
    <row r="655" spans="17:19" x14ac:dyDescent="0.2">
      <c r="Q655" s="3"/>
      <c r="S655" s="3"/>
    </row>
    <row r="656" spans="17:19" x14ac:dyDescent="0.2">
      <c r="Q656" s="3"/>
      <c r="S656" s="3"/>
    </row>
    <row r="657" spans="17:19" x14ac:dyDescent="0.2">
      <c r="Q657" s="3"/>
      <c r="S657" s="3"/>
    </row>
    <row r="658" spans="17:19" x14ac:dyDescent="0.2">
      <c r="Q658" s="3"/>
      <c r="S658" s="3"/>
    </row>
    <row r="659" spans="17:19" x14ac:dyDescent="0.2">
      <c r="Q659" s="3"/>
      <c r="S659" s="3"/>
    </row>
    <row r="660" spans="17:19" x14ac:dyDescent="0.2">
      <c r="Q660" s="3"/>
      <c r="S660" s="3"/>
    </row>
    <row r="661" spans="17:19" x14ac:dyDescent="0.2">
      <c r="Q661" s="3"/>
      <c r="S661" s="3"/>
    </row>
    <row r="662" spans="17:19" x14ac:dyDescent="0.2">
      <c r="Q662" s="3"/>
      <c r="S662" s="3"/>
    </row>
    <row r="663" spans="17:19" x14ac:dyDescent="0.2">
      <c r="Q663" s="3"/>
      <c r="S663" s="3"/>
    </row>
    <row r="664" spans="17:19" x14ac:dyDescent="0.2">
      <c r="Q664" s="3"/>
      <c r="S664" s="3"/>
    </row>
    <row r="665" spans="17:19" x14ac:dyDescent="0.2">
      <c r="Q665" s="3"/>
      <c r="S665" s="3"/>
    </row>
    <row r="666" spans="17:19" x14ac:dyDescent="0.2">
      <c r="Q666" s="3"/>
      <c r="S666" s="3"/>
    </row>
    <row r="667" spans="17:19" x14ac:dyDescent="0.2">
      <c r="Q667" s="3"/>
      <c r="S667" s="3"/>
    </row>
    <row r="668" spans="17:19" x14ac:dyDescent="0.2">
      <c r="Q668" s="3"/>
      <c r="S668" s="3"/>
    </row>
    <row r="669" spans="17:19" x14ac:dyDescent="0.2">
      <c r="Q669" s="3"/>
      <c r="S669" s="3"/>
    </row>
    <row r="670" spans="17:19" x14ac:dyDescent="0.2">
      <c r="Q670" s="3"/>
      <c r="S670" s="3"/>
    </row>
    <row r="671" spans="17:19" x14ac:dyDescent="0.2">
      <c r="Q671" s="3"/>
      <c r="S671" s="3"/>
    </row>
    <row r="672" spans="17:19" x14ac:dyDescent="0.2">
      <c r="Q672" s="3"/>
      <c r="S672" s="3"/>
    </row>
    <row r="673" spans="17:19" x14ac:dyDescent="0.2">
      <c r="Q673" s="3"/>
      <c r="S673" s="3"/>
    </row>
    <row r="674" spans="17:19" x14ac:dyDescent="0.2">
      <c r="Q674" s="3"/>
      <c r="S674" s="3"/>
    </row>
    <row r="675" spans="17:19" x14ac:dyDescent="0.2">
      <c r="Q675" s="3"/>
      <c r="S675" s="3"/>
    </row>
    <row r="676" spans="17:19" x14ac:dyDescent="0.2">
      <c r="Q676" s="3"/>
      <c r="S676" s="3"/>
    </row>
    <row r="677" spans="17:19" x14ac:dyDescent="0.2">
      <c r="Q677" s="3"/>
      <c r="S677" s="3"/>
    </row>
    <row r="678" spans="17:19" x14ac:dyDescent="0.2">
      <c r="Q678" s="3"/>
      <c r="S678" s="3"/>
    </row>
    <row r="679" spans="17:19" x14ac:dyDescent="0.2">
      <c r="Q679" s="3"/>
      <c r="S679" s="3"/>
    </row>
    <row r="680" spans="17:19" x14ac:dyDescent="0.2">
      <c r="Q680" s="3"/>
      <c r="S680" s="3"/>
    </row>
    <row r="681" spans="17:19" x14ac:dyDescent="0.2">
      <c r="Q681" s="3"/>
      <c r="S681" s="3"/>
    </row>
    <row r="682" spans="17:19" x14ac:dyDescent="0.2">
      <c r="Q682" s="3"/>
      <c r="S682" s="3"/>
    </row>
    <row r="683" spans="17:19" x14ac:dyDescent="0.2">
      <c r="Q683" s="3"/>
      <c r="S683" s="3"/>
    </row>
    <row r="684" spans="17:19" x14ac:dyDescent="0.2">
      <c r="Q684" s="3"/>
      <c r="S684" s="3"/>
    </row>
    <row r="685" spans="17:19" x14ac:dyDescent="0.2">
      <c r="Q685" s="3"/>
      <c r="S685" s="3"/>
    </row>
    <row r="686" spans="17:19" x14ac:dyDescent="0.2">
      <c r="Q686" s="3"/>
      <c r="S686" s="3"/>
    </row>
    <row r="687" spans="17:19" x14ac:dyDescent="0.2">
      <c r="Q687" s="3"/>
      <c r="S687" s="3"/>
    </row>
    <row r="688" spans="17:19" x14ac:dyDescent="0.2">
      <c r="Q688" s="3"/>
      <c r="S688" s="3"/>
    </row>
    <row r="689" spans="17:19" x14ac:dyDescent="0.2">
      <c r="Q689" s="3"/>
      <c r="S689" s="3"/>
    </row>
    <row r="690" spans="17:19" x14ac:dyDescent="0.2">
      <c r="Q690" s="3"/>
      <c r="S690" s="3"/>
    </row>
    <row r="691" spans="17:19" x14ac:dyDescent="0.2">
      <c r="Q691" s="3"/>
      <c r="S691" s="3"/>
    </row>
    <row r="692" spans="17:19" x14ac:dyDescent="0.2">
      <c r="Q692" s="3"/>
      <c r="S692" s="3"/>
    </row>
    <row r="693" spans="17:19" x14ac:dyDescent="0.2">
      <c r="Q693" s="3"/>
      <c r="S693" s="3"/>
    </row>
    <row r="694" spans="17:19" x14ac:dyDescent="0.2">
      <c r="Q694" s="3"/>
      <c r="S694" s="3"/>
    </row>
    <row r="695" spans="17:19" x14ac:dyDescent="0.2">
      <c r="Q695" s="3"/>
      <c r="S695" s="3"/>
    </row>
    <row r="696" spans="17:19" x14ac:dyDescent="0.2">
      <c r="Q696" s="3"/>
      <c r="S696" s="3"/>
    </row>
    <row r="697" spans="17:19" x14ac:dyDescent="0.2">
      <c r="Q697" s="3"/>
      <c r="S697" s="3"/>
    </row>
    <row r="698" spans="17:19" x14ac:dyDescent="0.2">
      <c r="Q698" s="3"/>
      <c r="S698" s="3"/>
    </row>
    <row r="699" spans="17:19" x14ac:dyDescent="0.2">
      <c r="Q699" s="3"/>
      <c r="S699" s="3"/>
    </row>
    <row r="700" spans="17:19" x14ac:dyDescent="0.2">
      <c r="Q700" s="3"/>
      <c r="S700" s="3"/>
    </row>
    <row r="701" spans="17:19" x14ac:dyDescent="0.2">
      <c r="Q701" s="3"/>
      <c r="S701" s="3"/>
    </row>
    <row r="702" spans="17:19" x14ac:dyDescent="0.2">
      <c r="Q702" s="3"/>
      <c r="S702" s="3"/>
    </row>
    <row r="703" spans="17:19" x14ac:dyDescent="0.2">
      <c r="Q703" s="3"/>
      <c r="S703" s="3"/>
    </row>
    <row r="704" spans="17:19" x14ac:dyDescent="0.2">
      <c r="Q704" s="3"/>
      <c r="S704" s="3"/>
    </row>
    <row r="705" spans="17:19" x14ac:dyDescent="0.2">
      <c r="Q705" s="3"/>
      <c r="S705" s="3"/>
    </row>
    <row r="706" spans="17:19" x14ac:dyDescent="0.2">
      <c r="Q706" s="3"/>
      <c r="S706" s="3"/>
    </row>
    <row r="707" spans="17:19" x14ac:dyDescent="0.2">
      <c r="Q707" s="3"/>
      <c r="S707" s="3"/>
    </row>
    <row r="708" spans="17:19" x14ac:dyDescent="0.2">
      <c r="Q708" s="3"/>
      <c r="S708" s="3"/>
    </row>
    <row r="709" spans="17:19" x14ac:dyDescent="0.2">
      <c r="Q709" s="3"/>
      <c r="S709" s="3"/>
    </row>
    <row r="710" spans="17:19" x14ac:dyDescent="0.2">
      <c r="Q710" s="3"/>
      <c r="S710" s="3"/>
    </row>
    <row r="711" spans="17:19" x14ac:dyDescent="0.2">
      <c r="Q711" s="3"/>
      <c r="S711" s="3"/>
    </row>
    <row r="712" spans="17:19" x14ac:dyDescent="0.2">
      <c r="Q712" s="3"/>
      <c r="S712" s="3"/>
    </row>
    <row r="713" spans="17:19" x14ac:dyDescent="0.2">
      <c r="Q713" s="3"/>
      <c r="S713" s="3"/>
    </row>
    <row r="714" spans="17:19" x14ac:dyDescent="0.2">
      <c r="Q714" s="3"/>
      <c r="S714" s="3"/>
    </row>
    <row r="715" spans="17:19" x14ac:dyDescent="0.2">
      <c r="Q715" s="3"/>
      <c r="S715" s="3"/>
    </row>
    <row r="716" spans="17:19" x14ac:dyDescent="0.2">
      <c r="Q716" s="3"/>
      <c r="S716" s="3"/>
    </row>
    <row r="717" spans="17:19" x14ac:dyDescent="0.2">
      <c r="Q717" s="3"/>
      <c r="S717" s="3"/>
    </row>
    <row r="718" spans="17:19" x14ac:dyDescent="0.2">
      <c r="Q718" s="3"/>
      <c r="S718" s="3"/>
    </row>
    <row r="719" spans="17:19" x14ac:dyDescent="0.2">
      <c r="Q719" s="3"/>
      <c r="S719" s="3"/>
    </row>
    <row r="720" spans="17:19" x14ac:dyDescent="0.2">
      <c r="Q720" s="3"/>
      <c r="S720" s="3"/>
    </row>
    <row r="721" spans="17:19" x14ac:dyDescent="0.2">
      <c r="Q721" s="3"/>
      <c r="S721" s="3"/>
    </row>
    <row r="722" spans="17:19" x14ac:dyDescent="0.2">
      <c r="Q722" s="3"/>
      <c r="S722" s="3"/>
    </row>
    <row r="723" spans="17:19" x14ac:dyDescent="0.2">
      <c r="Q723" s="3"/>
      <c r="S723" s="3"/>
    </row>
    <row r="724" spans="17:19" x14ac:dyDescent="0.2">
      <c r="Q724" s="3"/>
      <c r="S724" s="3"/>
    </row>
    <row r="725" spans="17:19" x14ac:dyDescent="0.2">
      <c r="Q725" s="3"/>
      <c r="S725" s="3"/>
    </row>
    <row r="726" spans="17:19" x14ac:dyDescent="0.2">
      <c r="Q726" s="3"/>
      <c r="S726" s="3"/>
    </row>
    <row r="727" spans="17:19" x14ac:dyDescent="0.2">
      <c r="Q727" s="3"/>
      <c r="S727" s="3"/>
    </row>
    <row r="728" spans="17:19" x14ac:dyDescent="0.2">
      <c r="Q728" s="3"/>
      <c r="S728" s="3"/>
    </row>
    <row r="729" spans="17:19" x14ac:dyDescent="0.2">
      <c r="Q729" s="3"/>
      <c r="S729" s="3"/>
    </row>
    <row r="730" spans="17:19" x14ac:dyDescent="0.2">
      <c r="Q730" s="3"/>
      <c r="S730" s="3"/>
    </row>
    <row r="731" spans="17:19" x14ac:dyDescent="0.2">
      <c r="Q731" s="3"/>
      <c r="S731" s="3"/>
    </row>
    <row r="732" spans="17:19" x14ac:dyDescent="0.2">
      <c r="Q732" s="3"/>
      <c r="S732" s="3"/>
    </row>
    <row r="733" spans="17:19" x14ac:dyDescent="0.2">
      <c r="Q733" s="3"/>
      <c r="S733" s="3"/>
    </row>
    <row r="734" spans="17:19" x14ac:dyDescent="0.2">
      <c r="Q734" s="3"/>
      <c r="S734" s="3"/>
    </row>
    <row r="735" spans="17:19" x14ac:dyDescent="0.2">
      <c r="Q735" s="3"/>
      <c r="S735" s="3"/>
    </row>
    <row r="736" spans="17:19" x14ac:dyDescent="0.2">
      <c r="Q736" s="3"/>
      <c r="S736" s="3"/>
    </row>
    <row r="737" spans="17:19" x14ac:dyDescent="0.2">
      <c r="Q737" s="3"/>
      <c r="S737" s="3"/>
    </row>
    <row r="738" spans="17:19" x14ac:dyDescent="0.2">
      <c r="Q738" s="3"/>
      <c r="S738" s="3"/>
    </row>
    <row r="739" spans="17:19" x14ac:dyDescent="0.2">
      <c r="Q739" s="3"/>
      <c r="S739" s="3"/>
    </row>
    <row r="740" spans="17:19" x14ac:dyDescent="0.2">
      <c r="Q740" s="3"/>
      <c r="S740" s="3"/>
    </row>
    <row r="741" spans="17:19" x14ac:dyDescent="0.2">
      <c r="Q741" s="3"/>
      <c r="S741" s="3"/>
    </row>
    <row r="742" spans="17:19" x14ac:dyDescent="0.2">
      <c r="Q742" s="3"/>
      <c r="S742" s="3"/>
    </row>
    <row r="743" spans="17:19" x14ac:dyDescent="0.2">
      <c r="Q743" s="3"/>
      <c r="S743" s="3"/>
    </row>
    <row r="744" spans="17:19" x14ac:dyDescent="0.2">
      <c r="Q744" s="3"/>
      <c r="S744" s="3"/>
    </row>
    <row r="745" spans="17:19" x14ac:dyDescent="0.2">
      <c r="Q745" s="3"/>
      <c r="S745" s="3"/>
    </row>
    <row r="746" spans="17:19" x14ac:dyDescent="0.2">
      <c r="Q746" s="3"/>
      <c r="S746" s="3"/>
    </row>
    <row r="747" spans="17:19" x14ac:dyDescent="0.2">
      <c r="Q747" s="3"/>
      <c r="S747" s="3"/>
    </row>
    <row r="748" spans="17:19" x14ac:dyDescent="0.2">
      <c r="Q748" s="3"/>
      <c r="S748" s="3"/>
    </row>
    <row r="749" spans="17:19" x14ac:dyDescent="0.2">
      <c r="Q749" s="3"/>
      <c r="S749" s="3"/>
    </row>
    <row r="750" spans="17:19" x14ac:dyDescent="0.2">
      <c r="Q750" s="3"/>
      <c r="S750" s="3"/>
    </row>
    <row r="751" spans="17:19" x14ac:dyDescent="0.2">
      <c r="Q751" s="3"/>
      <c r="S751" s="3"/>
    </row>
    <row r="752" spans="17:19" x14ac:dyDescent="0.2">
      <c r="Q752" s="3"/>
      <c r="S752" s="3"/>
    </row>
    <row r="753" spans="17:19" x14ac:dyDescent="0.2">
      <c r="Q753" s="3"/>
      <c r="S753" s="3"/>
    </row>
    <row r="754" spans="17:19" x14ac:dyDescent="0.2">
      <c r="Q754" s="3"/>
      <c r="S754" s="3"/>
    </row>
    <row r="755" spans="17:19" x14ac:dyDescent="0.2">
      <c r="Q755" s="3"/>
      <c r="S755" s="3"/>
    </row>
    <row r="756" spans="17:19" x14ac:dyDescent="0.2">
      <c r="Q756" s="3"/>
      <c r="S756" s="3"/>
    </row>
    <row r="757" spans="17:19" x14ac:dyDescent="0.2">
      <c r="Q757" s="3"/>
      <c r="S757" s="3"/>
    </row>
    <row r="758" spans="17:19" x14ac:dyDescent="0.2">
      <c r="Q758" s="3"/>
      <c r="S758" s="3"/>
    </row>
    <row r="759" spans="17:19" x14ac:dyDescent="0.2">
      <c r="Q759" s="3"/>
      <c r="S759" s="3"/>
    </row>
    <row r="760" spans="17:19" x14ac:dyDescent="0.2">
      <c r="Q760" s="3"/>
      <c r="S760" s="3"/>
    </row>
    <row r="761" spans="17:19" x14ac:dyDescent="0.2">
      <c r="Q761" s="3"/>
      <c r="S761" s="3"/>
    </row>
    <row r="762" spans="17:19" x14ac:dyDescent="0.2">
      <c r="Q762" s="3"/>
      <c r="S762" s="3"/>
    </row>
    <row r="763" spans="17:19" x14ac:dyDescent="0.2">
      <c r="Q763" s="3"/>
      <c r="S763" s="3"/>
    </row>
    <row r="764" spans="17:19" x14ac:dyDescent="0.2">
      <c r="Q764" s="3"/>
      <c r="S764" s="3"/>
    </row>
    <row r="765" spans="17:19" x14ac:dyDescent="0.2">
      <c r="Q765" s="3"/>
      <c r="S765" s="3"/>
    </row>
    <row r="766" spans="17:19" x14ac:dyDescent="0.2">
      <c r="Q766" s="3"/>
      <c r="S766" s="3"/>
    </row>
    <row r="767" spans="17:19" x14ac:dyDescent="0.2">
      <c r="Q767" s="3"/>
      <c r="S767" s="3"/>
    </row>
    <row r="768" spans="17:19" x14ac:dyDescent="0.2">
      <c r="Q768" s="3"/>
      <c r="S768" s="3"/>
    </row>
    <row r="769" spans="17:19" x14ac:dyDescent="0.2">
      <c r="Q769" s="3"/>
      <c r="S769" s="3"/>
    </row>
    <row r="770" spans="17:19" x14ac:dyDescent="0.2">
      <c r="Q770" s="3"/>
      <c r="S770" s="3"/>
    </row>
    <row r="771" spans="17:19" x14ac:dyDescent="0.2">
      <c r="Q771" s="3"/>
      <c r="S771" s="3"/>
    </row>
    <row r="772" spans="17:19" x14ac:dyDescent="0.2">
      <c r="Q772" s="3"/>
      <c r="S772" s="3"/>
    </row>
    <row r="773" spans="17:19" x14ac:dyDescent="0.2">
      <c r="Q773" s="3"/>
      <c r="S773" s="3"/>
    </row>
    <row r="774" spans="17:19" x14ac:dyDescent="0.2">
      <c r="Q774" s="3"/>
      <c r="S774" s="3"/>
    </row>
    <row r="775" spans="17:19" x14ac:dyDescent="0.2">
      <c r="Q775" s="3"/>
      <c r="S775" s="3"/>
    </row>
    <row r="776" spans="17:19" x14ac:dyDescent="0.2">
      <c r="Q776" s="3"/>
      <c r="S776" s="3"/>
    </row>
    <row r="777" spans="17:19" x14ac:dyDescent="0.2">
      <c r="Q777" s="3"/>
      <c r="S777" s="3"/>
    </row>
    <row r="778" spans="17:19" x14ac:dyDescent="0.2">
      <c r="Q778" s="3"/>
      <c r="S778" s="3"/>
    </row>
    <row r="779" spans="17:19" x14ac:dyDescent="0.2">
      <c r="Q779" s="3"/>
      <c r="S779" s="3"/>
    </row>
    <row r="780" spans="17:19" x14ac:dyDescent="0.2">
      <c r="Q780" s="3"/>
      <c r="S780" s="3"/>
    </row>
    <row r="781" spans="17:19" x14ac:dyDescent="0.2">
      <c r="Q781" s="3"/>
      <c r="S781" s="3"/>
    </row>
    <row r="782" spans="17:19" x14ac:dyDescent="0.2">
      <c r="Q782" s="3"/>
      <c r="S782" s="3"/>
    </row>
    <row r="783" spans="17:19" x14ac:dyDescent="0.2">
      <c r="Q783" s="3"/>
      <c r="S783" s="3"/>
    </row>
    <row r="784" spans="17:19" x14ac:dyDescent="0.2">
      <c r="Q784" s="3"/>
      <c r="S784" s="3"/>
    </row>
    <row r="785" spans="17:19" x14ac:dyDescent="0.2">
      <c r="Q785" s="3"/>
      <c r="S785" s="3"/>
    </row>
    <row r="786" spans="17:19" x14ac:dyDescent="0.2">
      <c r="Q786" s="3"/>
      <c r="S786" s="3"/>
    </row>
    <row r="787" spans="17:19" x14ac:dyDescent="0.2">
      <c r="Q787" s="3"/>
      <c r="S787" s="3"/>
    </row>
    <row r="788" spans="17:19" x14ac:dyDescent="0.2">
      <c r="Q788" s="3"/>
      <c r="S788" s="3"/>
    </row>
    <row r="789" spans="17:19" x14ac:dyDescent="0.2">
      <c r="Q789" s="3"/>
      <c r="S789" s="3"/>
    </row>
    <row r="790" spans="17:19" x14ac:dyDescent="0.2">
      <c r="Q790" s="3"/>
      <c r="S790" s="3"/>
    </row>
    <row r="791" spans="17:19" x14ac:dyDescent="0.2">
      <c r="Q791" s="3"/>
      <c r="S791" s="3"/>
    </row>
    <row r="792" spans="17:19" x14ac:dyDescent="0.2">
      <c r="Q792" s="3"/>
      <c r="S792" s="3"/>
    </row>
    <row r="793" spans="17:19" x14ac:dyDescent="0.2">
      <c r="Q793" s="3"/>
      <c r="S793" s="3"/>
    </row>
    <row r="794" spans="17:19" x14ac:dyDescent="0.2">
      <c r="Q794" s="3"/>
      <c r="S794" s="3"/>
    </row>
    <row r="795" spans="17:19" x14ac:dyDescent="0.2">
      <c r="Q795" s="3"/>
      <c r="S795" s="3"/>
    </row>
    <row r="796" spans="17:19" x14ac:dyDescent="0.2">
      <c r="Q796" s="3"/>
      <c r="S796" s="3"/>
    </row>
    <row r="797" spans="17:19" x14ac:dyDescent="0.2">
      <c r="Q797" s="3"/>
      <c r="S797" s="3"/>
    </row>
    <row r="798" spans="17:19" x14ac:dyDescent="0.2">
      <c r="Q798" s="3"/>
      <c r="S798" s="3"/>
    </row>
    <row r="799" spans="17:19" x14ac:dyDescent="0.2">
      <c r="Q799" s="3"/>
      <c r="S799" s="3"/>
    </row>
    <row r="800" spans="17:19" x14ac:dyDescent="0.2">
      <c r="Q800" s="3"/>
      <c r="S800" s="3"/>
    </row>
    <row r="801" spans="17:19" x14ac:dyDescent="0.2">
      <c r="Q801" s="3"/>
      <c r="S801" s="3"/>
    </row>
    <row r="802" spans="17:19" x14ac:dyDescent="0.2">
      <c r="Q802" s="3"/>
      <c r="S802" s="3"/>
    </row>
    <row r="803" spans="17:19" x14ac:dyDescent="0.2">
      <c r="Q803" s="3"/>
      <c r="S803" s="3"/>
    </row>
    <row r="804" spans="17:19" x14ac:dyDescent="0.2">
      <c r="Q804" s="3"/>
      <c r="S804" s="3"/>
    </row>
    <row r="805" spans="17:19" x14ac:dyDescent="0.2">
      <c r="Q805" s="3"/>
      <c r="S805" s="3"/>
    </row>
    <row r="806" spans="17:19" x14ac:dyDescent="0.2">
      <c r="Q806" s="3"/>
      <c r="S806" s="3"/>
    </row>
    <row r="807" spans="17:19" x14ac:dyDescent="0.2">
      <c r="Q807" s="3"/>
      <c r="S807" s="3"/>
    </row>
    <row r="808" spans="17:19" x14ac:dyDescent="0.2">
      <c r="Q808" s="3"/>
      <c r="S808" s="3"/>
    </row>
    <row r="809" spans="17:19" x14ac:dyDescent="0.2">
      <c r="Q809" s="3"/>
      <c r="S809" s="3"/>
    </row>
    <row r="810" spans="17:19" x14ac:dyDescent="0.2">
      <c r="Q810" s="3"/>
      <c r="S810" s="3"/>
    </row>
    <row r="811" spans="17:19" x14ac:dyDescent="0.2">
      <c r="Q811" s="3"/>
      <c r="S811" s="3"/>
    </row>
    <row r="812" spans="17:19" x14ac:dyDescent="0.2">
      <c r="Q812" s="3"/>
      <c r="S812" s="3"/>
    </row>
    <row r="813" spans="17:19" x14ac:dyDescent="0.2">
      <c r="Q813" s="3"/>
      <c r="S813" s="3"/>
    </row>
    <row r="814" spans="17:19" x14ac:dyDescent="0.2">
      <c r="Q814" s="3"/>
      <c r="S814" s="3"/>
    </row>
    <row r="815" spans="17:19" x14ac:dyDescent="0.2">
      <c r="Q815" s="3"/>
      <c r="S815" s="3"/>
    </row>
    <row r="816" spans="17:19" x14ac:dyDescent="0.2">
      <c r="Q816" s="3"/>
      <c r="S816" s="3"/>
    </row>
    <row r="817" spans="17:19" x14ac:dyDescent="0.2">
      <c r="Q817" s="3"/>
      <c r="S817" s="3"/>
    </row>
    <row r="818" spans="17:19" x14ac:dyDescent="0.2">
      <c r="Q818" s="3"/>
      <c r="S818" s="3"/>
    </row>
    <row r="819" spans="17:19" x14ac:dyDescent="0.2">
      <c r="Q819" s="3"/>
      <c r="S819" s="3"/>
    </row>
    <row r="820" spans="17:19" x14ac:dyDescent="0.2">
      <c r="Q820" s="3"/>
      <c r="S820" s="3"/>
    </row>
    <row r="821" spans="17:19" x14ac:dyDescent="0.2">
      <c r="Q821" s="3"/>
      <c r="S821" s="3"/>
    </row>
    <row r="822" spans="17:19" x14ac:dyDescent="0.2">
      <c r="Q822" s="3"/>
      <c r="S822" s="3"/>
    </row>
    <row r="823" spans="17:19" x14ac:dyDescent="0.2">
      <c r="Q823" s="3"/>
      <c r="S823" s="3"/>
    </row>
    <row r="824" spans="17:19" x14ac:dyDescent="0.2">
      <c r="Q824" s="3"/>
      <c r="S824" s="3"/>
    </row>
    <row r="825" spans="17:19" x14ac:dyDescent="0.2">
      <c r="Q825" s="3"/>
      <c r="S825" s="3"/>
    </row>
    <row r="826" spans="17:19" x14ac:dyDescent="0.2">
      <c r="Q826" s="3"/>
      <c r="S826" s="3"/>
    </row>
    <row r="827" spans="17:19" x14ac:dyDescent="0.2">
      <c r="Q827" s="3"/>
      <c r="S827" s="3"/>
    </row>
    <row r="828" spans="17:19" x14ac:dyDescent="0.2">
      <c r="Q828" s="3"/>
      <c r="S828" s="3"/>
    </row>
    <row r="829" spans="17:19" x14ac:dyDescent="0.2">
      <c r="Q829" s="3"/>
      <c r="S829" s="3"/>
    </row>
    <row r="830" spans="17:19" x14ac:dyDescent="0.2">
      <c r="Q830" s="3"/>
      <c r="S830" s="3"/>
    </row>
    <row r="831" spans="17:19" x14ac:dyDescent="0.2">
      <c r="Q831" s="3"/>
      <c r="S831" s="3"/>
    </row>
    <row r="832" spans="17:19" x14ac:dyDescent="0.2">
      <c r="Q832" s="3"/>
      <c r="S832" s="3"/>
    </row>
    <row r="833" spans="17:19" x14ac:dyDescent="0.2">
      <c r="Q833" s="3"/>
      <c r="S833" s="3"/>
    </row>
    <row r="834" spans="17:19" x14ac:dyDescent="0.2">
      <c r="Q834" s="3"/>
      <c r="S834" s="3"/>
    </row>
    <row r="835" spans="17:19" x14ac:dyDescent="0.2">
      <c r="Q835" s="3"/>
      <c r="S835" s="3"/>
    </row>
    <row r="836" spans="17:19" x14ac:dyDescent="0.2">
      <c r="Q836" s="3"/>
      <c r="S836" s="3"/>
    </row>
    <row r="837" spans="17:19" x14ac:dyDescent="0.2">
      <c r="Q837" s="3"/>
      <c r="S837" s="3"/>
    </row>
    <row r="838" spans="17:19" x14ac:dyDescent="0.2">
      <c r="Q838" s="3"/>
      <c r="S838" s="3"/>
    </row>
    <row r="839" spans="17:19" x14ac:dyDescent="0.2">
      <c r="Q839" s="3"/>
      <c r="S839" s="3"/>
    </row>
    <row r="840" spans="17:19" x14ac:dyDescent="0.2">
      <c r="Q840" s="3"/>
      <c r="S840" s="3"/>
    </row>
    <row r="841" spans="17:19" x14ac:dyDescent="0.2">
      <c r="Q841" s="3"/>
      <c r="S841" s="3"/>
    </row>
    <row r="842" spans="17:19" x14ac:dyDescent="0.2">
      <c r="Q842" s="3"/>
      <c r="S842" s="3"/>
    </row>
    <row r="843" spans="17:19" x14ac:dyDescent="0.2">
      <c r="Q843" s="3"/>
      <c r="S843" s="3"/>
    </row>
    <row r="844" spans="17:19" x14ac:dyDescent="0.2">
      <c r="Q844" s="3"/>
      <c r="S844" s="3"/>
    </row>
    <row r="845" spans="17:19" x14ac:dyDescent="0.2">
      <c r="Q845" s="3"/>
      <c r="S845" s="3"/>
    </row>
    <row r="846" spans="17:19" x14ac:dyDescent="0.2">
      <c r="Q846" s="3"/>
      <c r="S846" s="3"/>
    </row>
    <row r="847" spans="17:19" x14ac:dyDescent="0.2">
      <c r="Q847" s="3"/>
      <c r="S847" s="3"/>
    </row>
    <row r="848" spans="17:19" x14ac:dyDescent="0.2">
      <c r="Q848" s="3"/>
      <c r="S848" s="3"/>
    </row>
    <row r="849" spans="17:19" x14ac:dyDescent="0.2">
      <c r="Q849" s="3"/>
      <c r="S849" s="3"/>
    </row>
    <row r="850" spans="17:19" x14ac:dyDescent="0.2">
      <c r="Q850" s="3"/>
      <c r="S850" s="3"/>
    </row>
    <row r="851" spans="17:19" x14ac:dyDescent="0.2">
      <c r="Q851" s="3"/>
      <c r="S851" s="3"/>
    </row>
    <row r="852" spans="17:19" x14ac:dyDescent="0.2">
      <c r="Q852" s="3"/>
      <c r="S852" s="3"/>
    </row>
    <row r="853" spans="17:19" x14ac:dyDescent="0.2">
      <c r="Q853" s="3"/>
      <c r="S853" s="3"/>
    </row>
    <row r="854" spans="17:19" x14ac:dyDescent="0.2">
      <c r="Q854" s="3"/>
      <c r="S854" s="3"/>
    </row>
    <row r="855" spans="17:19" x14ac:dyDescent="0.2">
      <c r="Q855" s="3"/>
      <c r="S855" s="3"/>
    </row>
    <row r="856" spans="17:19" x14ac:dyDescent="0.2">
      <c r="Q856" s="3"/>
      <c r="S856" s="3"/>
    </row>
    <row r="857" spans="17:19" x14ac:dyDescent="0.2">
      <c r="Q857" s="3"/>
      <c r="S857" s="3"/>
    </row>
    <row r="858" spans="17:19" x14ac:dyDescent="0.2">
      <c r="Q858" s="3"/>
      <c r="S858" s="3"/>
    </row>
    <row r="859" spans="17:19" x14ac:dyDescent="0.2">
      <c r="Q859" s="3"/>
      <c r="S859" s="3"/>
    </row>
    <row r="860" spans="17:19" x14ac:dyDescent="0.2">
      <c r="Q860" s="3"/>
      <c r="S860" s="3"/>
    </row>
    <row r="861" spans="17:19" x14ac:dyDescent="0.2">
      <c r="Q861" s="3"/>
      <c r="S861" s="3"/>
    </row>
    <row r="862" spans="17:19" x14ac:dyDescent="0.2">
      <c r="Q862" s="3"/>
      <c r="S862" s="3"/>
    </row>
    <row r="863" spans="17:19" x14ac:dyDescent="0.2">
      <c r="Q863" s="3"/>
      <c r="S863" s="3"/>
    </row>
    <row r="864" spans="17:19" x14ac:dyDescent="0.2">
      <c r="Q864" s="3"/>
      <c r="S864" s="3"/>
    </row>
    <row r="865" spans="17:19" x14ac:dyDescent="0.2">
      <c r="Q865" s="3"/>
      <c r="S865" s="3"/>
    </row>
    <row r="866" spans="17:19" x14ac:dyDescent="0.2">
      <c r="Q866" s="3"/>
      <c r="S866" s="3"/>
    </row>
    <row r="867" spans="17:19" x14ac:dyDescent="0.2">
      <c r="Q867" s="3"/>
      <c r="S867" s="3"/>
    </row>
    <row r="868" spans="17:19" x14ac:dyDescent="0.2">
      <c r="Q868" s="3"/>
      <c r="S868" s="3"/>
    </row>
    <row r="869" spans="17:19" x14ac:dyDescent="0.2">
      <c r="Q869" s="3"/>
      <c r="S869" s="3"/>
    </row>
    <row r="870" spans="17:19" x14ac:dyDescent="0.2">
      <c r="Q870" s="3"/>
      <c r="S870" s="3"/>
    </row>
    <row r="871" spans="17:19" x14ac:dyDescent="0.2">
      <c r="Q871" s="3"/>
      <c r="S871" s="3"/>
    </row>
    <row r="872" spans="17:19" x14ac:dyDescent="0.2">
      <c r="Q872" s="3"/>
      <c r="S872" s="3"/>
    </row>
    <row r="873" spans="17:19" x14ac:dyDescent="0.2">
      <c r="Q873" s="3"/>
      <c r="S873" s="3"/>
    </row>
    <row r="874" spans="17:19" x14ac:dyDescent="0.2">
      <c r="Q874" s="3"/>
      <c r="S874" s="3"/>
    </row>
    <row r="875" spans="17:19" x14ac:dyDescent="0.2">
      <c r="Q875" s="3"/>
      <c r="S875" s="3"/>
    </row>
    <row r="876" spans="17:19" x14ac:dyDescent="0.2">
      <c r="Q876" s="3"/>
      <c r="S876" s="3"/>
    </row>
    <row r="877" spans="17:19" x14ac:dyDescent="0.2">
      <c r="Q877" s="3"/>
      <c r="S877" s="3"/>
    </row>
    <row r="878" spans="17:19" x14ac:dyDescent="0.2">
      <c r="Q878" s="3"/>
      <c r="S878" s="3"/>
    </row>
    <row r="879" spans="17:19" x14ac:dyDescent="0.2">
      <c r="Q879" s="3"/>
      <c r="S879" s="3"/>
    </row>
    <row r="880" spans="17:19" x14ac:dyDescent="0.2">
      <c r="Q880" s="3"/>
      <c r="S880" s="3"/>
    </row>
    <row r="881" spans="17:19" x14ac:dyDescent="0.2">
      <c r="Q881" s="3"/>
      <c r="S881" s="3"/>
    </row>
    <row r="882" spans="17:19" x14ac:dyDescent="0.2">
      <c r="Q882" s="3"/>
      <c r="S882" s="3"/>
    </row>
    <row r="883" spans="17:19" x14ac:dyDescent="0.2">
      <c r="Q883" s="3"/>
      <c r="S883" s="3"/>
    </row>
    <row r="884" spans="17:19" x14ac:dyDescent="0.2">
      <c r="Q884" s="3"/>
      <c r="S884" s="3"/>
    </row>
    <row r="885" spans="17:19" x14ac:dyDescent="0.2">
      <c r="Q885" s="3"/>
      <c r="S885" s="3"/>
    </row>
    <row r="886" spans="17:19" x14ac:dyDescent="0.2">
      <c r="Q886" s="3"/>
      <c r="S886" s="3"/>
    </row>
    <row r="887" spans="17:19" x14ac:dyDescent="0.2">
      <c r="Q887" s="3"/>
      <c r="S887" s="3"/>
    </row>
    <row r="888" spans="17:19" x14ac:dyDescent="0.2">
      <c r="Q888" s="3"/>
      <c r="S888" s="3"/>
    </row>
    <row r="889" spans="17:19" x14ac:dyDescent="0.2">
      <c r="Q889" s="3"/>
      <c r="S889" s="3"/>
    </row>
    <row r="890" spans="17:19" x14ac:dyDescent="0.2">
      <c r="Q890" s="3"/>
      <c r="S890" s="3"/>
    </row>
    <row r="891" spans="17:19" x14ac:dyDescent="0.2">
      <c r="Q891" s="3"/>
      <c r="S891" s="3"/>
    </row>
    <row r="892" spans="17:19" x14ac:dyDescent="0.2">
      <c r="Q892" s="3"/>
      <c r="S892" s="3"/>
    </row>
    <row r="893" spans="17:19" x14ac:dyDescent="0.2">
      <c r="Q893" s="3"/>
      <c r="S893" s="3"/>
    </row>
    <row r="894" spans="17:19" x14ac:dyDescent="0.2">
      <c r="Q894" s="3"/>
      <c r="S894" s="3"/>
    </row>
    <row r="895" spans="17:19" x14ac:dyDescent="0.2">
      <c r="Q895" s="3"/>
      <c r="S895" s="3"/>
    </row>
    <row r="896" spans="17:19" x14ac:dyDescent="0.2">
      <c r="Q896" s="3"/>
      <c r="S896" s="3"/>
    </row>
    <row r="897" spans="17:19" x14ac:dyDescent="0.2">
      <c r="Q897" s="3"/>
      <c r="S897" s="3"/>
    </row>
    <row r="898" spans="17:19" x14ac:dyDescent="0.2">
      <c r="Q898" s="3"/>
      <c r="S898" s="3"/>
    </row>
    <row r="899" spans="17:19" x14ac:dyDescent="0.2">
      <c r="Q899" s="3"/>
      <c r="S899" s="3"/>
    </row>
    <row r="900" spans="17:19" x14ac:dyDescent="0.2">
      <c r="Q900" s="3"/>
      <c r="S900" s="3"/>
    </row>
    <row r="901" spans="17:19" x14ac:dyDescent="0.2">
      <c r="Q901" s="3"/>
      <c r="S901" s="3"/>
    </row>
    <row r="902" spans="17:19" x14ac:dyDescent="0.2">
      <c r="Q902" s="3"/>
      <c r="S902" s="3"/>
    </row>
    <row r="903" spans="17:19" x14ac:dyDescent="0.2">
      <c r="Q903" s="3"/>
      <c r="S903" s="3"/>
    </row>
    <row r="904" spans="17:19" x14ac:dyDescent="0.2">
      <c r="Q904" s="3"/>
      <c r="S904" s="3"/>
    </row>
    <row r="905" spans="17:19" x14ac:dyDescent="0.2">
      <c r="Q905" s="3"/>
      <c r="S905" s="3"/>
    </row>
    <row r="906" spans="17:19" x14ac:dyDescent="0.2">
      <c r="Q906" s="3"/>
      <c r="S906" s="3"/>
    </row>
    <row r="907" spans="17:19" x14ac:dyDescent="0.2">
      <c r="Q907" s="3"/>
      <c r="S907" s="3"/>
    </row>
    <row r="908" spans="17:19" x14ac:dyDescent="0.2">
      <c r="Q908" s="3"/>
      <c r="S908" s="3"/>
    </row>
    <row r="909" spans="17:19" x14ac:dyDescent="0.2">
      <c r="Q909" s="3"/>
      <c r="S909" s="3"/>
    </row>
    <row r="910" spans="17:19" x14ac:dyDescent="0.2">
      <c r="Q910" s="3"/>
      <c r="S910" s="3"/>
    </row>
    <row r="911" spans="17:19" x14ac:dyDescent="0.2">
      <c r="Q911" s="3"/>
      <c r="S911" s="3"/>
    </row>
    <row r="912" spans="17:19" x14ac:dyDescent="0.2">
      <c r="Q912" s="3"/>
      <c r="S912" s="3"/>
    </row>
    <row r="913" spans="17:19" x14ac:dyDescent="0.2">
      <c r="Q913" s="3"/>
      <c r="S913" s="3"/>
    </row>
    <row r="914" spans="17:19" x14ac:dyDescent="0.2">
      <c r="Q914" s="3"/>
      <c r="S914" s="3"/>
    </row>
    <row r="915" spans="17:19" x14ac:dyDescent="0.2">
      <c r="Q915" s="3"/>
      <c r="S915" s="3"/>
    </row>
    <row r="916" spans="17:19" x14ac:dyDescent="0.2">
      <c r="Q916" s="3"/>
      <c r="S916" s="3"/>
    </row>
    <row r="917" spans="17:19" x14ac:dyDescent="0.2">
      <c r="Q917" s="3"/>
      <c r="S917" s="3"/>
    </row>
    <row r="918" spans="17:19" x14ac:dyDescent="0.2">
      <c r="Q918" s="3"/>
      <c r="S918" s="3"/>
    </row>
    <row r="919" spans="17:19" x14ac:dyDescent="0.2">
      <c r="Q919" s="3"/>
      <c r="S919" s="3"/>
    </row>
    <row r="920" spans="17:19" x14ac:dyDescent="0.2">
      <c r="Q920" s="3"/>
      <c r="S920" s="3"/>
    </row>
    <row r="921" spans="17:19" x14ac:dyDescent="0.2">
      <c r="Q921" s="3"/>
      <c r="S921" s="3"/>
    </row>
    <row r="922" spans="17:19" x14ac:dyDescent="0.2">
      <c r="Q922" s="3"/>
      <c r="S922" s="3"/>
    </row>
    <row r="923" spans="17:19" x14ac:dyDescent="0.2">
      <c r="Q923" s="3"/>
      <c r="S923" s="3"/>
    </row>
    <row r="924" spans="17:19" x14ac:dyDescent="0.2">
      <c r="Q924" s="3"/>
      <c r="S924" s="3"/>
    </row>
    <row r="925" spans="17:19" x14ac:dyDescent="0.2">
      <c r="Q925" s="3"/>
      <c r="S925" s="3"/>
    </row>
    <row r="926" spans="17:19" x14ac:dyDescent="0.2">
      <c r="Q926" s="3"/>
      <c r="S926" s="3"/>
    </row>
    <row r="927" spans="17:19" x14ac:dyDescent="0.2">
      <c r="Q927" s="3"/>
      <c r="S927" s="3"/>
    </row>
    <row r="928" spans="17:19" x14ac:dyDescent="0.2">
      <c r="Q928" s="3"/>
      <c r="S928" s="3"/>
    </row>
    <row r="929" spans="17:19" x14ac:dyDescent="0.2">
      <c r="Q929" s="3"/>
      <c r="S929" s="3"/>
    </row>
    <row r="930" spans="17:19" x14ac:dyDescent="0.2">
      <c r="Q930" s="3"/>
      <c r="S930" s="3"/>
    </row>
    <row r="931" spans="17:19" x14ac:dyDescent="0.2">
      <c r="Q931" s="3"/>
      <c r="S931" s="3"/>
    </row>
    <row r="932" spans="17:19" x14ac:dyDescent="0.2">
      <c r="Q932" s="3"/>
      <c r="S932" s="3"/>
    </row>
    <row r="933" spans="17:19" x14ac:dyDescent="0.2">
      <c r="Q933" s="3"/>
      <c r="S933" s="3"/>
    </row>
    <row r="934" spans="17:19" x14ac:dyDescent="0.2">
      <c r="Q934" s="3"/>
      <c r="S934" s="3"/>
    </row>
    <row r="935" spans="17:19" x14ac:dyDescent="0.2">
      <c r="Q935" s="3"/>
      <c r="S935" s="3"/>
    </row>
    <row r="936" spans="17:19" x14ac:dyDescent="0.2">
      <c r="Q936" s="3"/>
      <c r="S936" s="3"/>
    </row>
    <row r="937" spans="17:19" x14ac:dyDescent="0.2">
      <c r="Q937" s="3"/>
      <c r="S937" s="3"/>
    </row>
    <row r="938" spans="17:19" x14ac:dyDescent="0.2">
      <c r="Q938" s="3"/>
      <c r="S938" s="3"/>
    </row>
    <row r="939" spans="17:19" x14ac:dyDescent="0.2">
      <c r="Q939" s="3"/>
      <c r="S939" s="3"/>
    </row>
    <row r="940" spans="17:19" x14ac:dyDescent="0.2">
      <c r="Q940" s="3"/>
      <c r="S940" s="3"/>
    </row>
    <row r="941" spans="17:19" x14ac:dyDescent="0.2">
      <c r="Q941" s="3"/>
      <c r="S941" s="3"/>
    </row>
    <row r="942" spans="17:19" x14ac:dyDescent="0.2">
      <c r="Q942" s="3"/>
      <c r="S942" s="3"/>
    </row>
    <row r="943" spans="17:19" x14ac:dyDescent="0.2">
      <c r="Q943" s="3"/>
      <c r="S943" s="3"/>
    </row>
    <row r="944" spans="17:19" x14ac:dyDescent="0.2">
      <c r="Q944" s="3"/>
      <c r="S944" s="3"/>
    </row>
    <row r="945" spans="17:19" x14ac:dyDescent="0.2">
      <c r="Q945" s="3"/>
      <c r="S945" s="3"/>
    </row>
    <row r="946" spans="17:19" x14ac:dyDescent="0.2">
      <c r="Q946" s="3"/>
      <c r="S946" s="3"/>
    </row>
    <row r="947" spans="17:19" x14ac:dyDescent="0.2">
      <c r="Q947" s="3"/>
      <c r="S947" s="3"/>
    </row>
    <row r="948" spans="17:19" x14ac:dyDescent="0.2">
      <c r="Q948" s="3"/>
      <c r="S948" s="3"/>
    </row>
    <row r="949" spans="17:19" x14ac:dyDescent="0.2">
      <c r="Q949" s="3"/>
      <c r="S949" s="3"/>
    </row>
    <row r="950" spans="17:19" x14ac:dyDescent="0.2">
      <c r="Q950" s="3"/>
      <c r="S950" s="3"/>
    </row>
    <row r="951" spans="17:19" x14ac:dyDescent="0.2">
      <c r="Q951" s="3"/>
      <c r="S951" s="3"/>
    </row>
    <row r="952" spans="17:19" x14ac:dyDescent="0.2">
      <c r="Q952" s="3"/>
      <c r="S952" s="3"/>
    </row>
    <row r="953" spans="17:19" x14ac:dyDescent="0.2">
      <c r="Q953" s="3"/>
      <c r="S953" s="3"/>
    </row>
    <row r="954" spans="17:19" x14ac:dyDescent="0.2">
      <c r="Q954" s="3"/>
      <c r="S954" s="3"/>
    </row>
    <row r="955" spans="17:19" x14ac:dyDescent="0.2">
      <c r="Q955" s="3"/>
      <c r="S955" s="3"/>
    </row>
    <row r="956" spans="17:19" x14ac:dyDescent="0.2">
      <c r="Q956" s="3"/>
      <c r="S956" s="3"/>
    </row>
    <row r="957" spans="17:19" x14ac:dyDescent="0.2">
      <c r="Q957" s="3"/>
      <c r="S957" s="3"/>
    </row>
    <row r="958" spans="17:19" x14ac:dyDescent="0.2">
      <c r="Q958" s="3"/>
      <c r="S958" s="3"/>
    </row>
    <row r="959" spans="17:19" x14ac:dyDescent="0.2">
      <c r="Q959" s="3"/>
      <c r="S959" s="3"/>
    </row>
    <row r="960" spans="17:19" x14ac:dyDescent="0.2">
      <c r="Q960" s="3"/>
      <c r="S960" s="3"/>
    </row>
    <row r="961" spans="17:19" x14ac:dyDescent="0.2">
      <c r="Q961" s="3"/>
      <c r="S961" s="3"/>
    </row>
    <row r="962" spans="17:19" x14ac:dyDescent="0.2">
      <c r="Q962" s="3"/>
      <c r="S962" s="3"/>
    </row>
    <row r="963" spans="17:19" x14ac:dyDescent="0.2">
      <c r="Q963" s="3"/>
      <c r="S963" s="3"/>
    </row>
    <row r="964" spans="17:19" x14ac:dyDescent="0.2">
      <c r="Q964" s="3"/>
      <c r="S964" s="3"/>
    </row>
    <row r="965" spans="17:19" x14ac:dyDescent="0.2">
      <c r="Q965" s="3"/>
      <c r="S965" s="3"/>
    </row>
    <row r="966" spans="17:19" x14ac:dyDescent="0.2">
      <c r="Q966" s="3"/>
      <c r="S966" s="3"/>
    </row>
    <row r="967" spans="17:19" x14ac:dyDescent="0.2">
      <c r="Q967" s="3"/>
      <c r="S967" s="3"/>
    </row>
    <row r="968" spans="17:19" x14ac:dyDescent="0.2">
      <c r="Q968" s="3"/>
      <c r="S968" s="3"/>
    </row>
    <row r="969" spans="17:19" x14ac:dyDescent="0.2">
      <c r="Q969" s="3"/>
      <c r="S969" s="3"/>
    </row>
    <row r="970" spans="17:19" x14ac:dyDescent="0.2">
      <c r="Q970" s="3"/>
      <c r="S970" s="3"/>
    </row>
    <row r="971" spans="17:19" x14ac:dyDescent="0.2">
      <c r="Q971" s="3"/>
      <c r="S971" s="3"/>
    </row>
    <row r="972" spans="17:19" x14ac:dyDescent="0.2">
      <c r="Q972" s="3"/>
      <c r="S972" s="3"/>
    </row>
    <row r="973" spans="17:19" x14ac:dyDescent="0.2">
      <c r="Q973" s="3"/>
      <c r="S973" s="3"/>
    </row>
    <row r="974" spans="17:19" x14ac:dyDescent="0.2">
      <c r="Q974" s="3"/>
      <c r="S974" s="3"/>
    </row>
    <row r="975" spans="17:19" x14ac:dyDescent="0.2">
      <c r="Q975" s="3"/>
      <c r="S975" s="3"/>
    </row>
    <row r="976" spans="17:19" x14ac:dyDescent="0.2">
      <c r="Q976" s="3"/>
      <c r="S976" s="3"/>
    </row>
    <row r="977" spans="17:19" x14ac:dyDescent="0.2">
      <c r="Q977" s="3"/>
      <c r="S977" s="3"/>
    </row>
    <row r="978" spans="17:19" x14ac:dyDescent="0.2">
      <c r="Q978" s="3"/>
      <c r="S978" s="3"/>
    </row>
    <row r="979" spans="17:19" x14ac:dyDescent="0.2">
      <c r="Q979" s="3"/>
      <c r="S979" s="3"/>
    </row>
    <row r="980" spans="17:19" x14ac:dyDescent="0.2">
      <c r="Q980" s="3"/>
      <c r="S980" s="3"/>
    </row>
    <row r="981" spans="17:19" x14ac:dyDescent="0.2">
      <c r="Q981" s="3"/>
      <c r="S981" s="3"/>
    </row>
    <row r="982" spans="17:19" x14ac:dyDescent="0.2">
      <c r="Q982" s="3"/>
      <c r="S982" s="3"/>
    </row>
    <row r="983" spans="17:19" x14ac:dyDescent="0.2">
      <c r="Q983" s="3"/>
      <c r="S983" s="3"/>
    </row>
    <row r="984" spans="17:19" x14ac:dyDescent="0.2">
      <c r="Q984" s="3"/>
      <c r="S984" s="3"/>
    </row>
    <row r="985" spans="17:19" x14ac:dyDescent="0.2">
      <c r="Q985" s="3"/>
      <c r="S985" s="3"/>
    </row>
    <row r="986" spans="17:19" x14ac:dyDescent="0.2">
      <c r="Q986" s="3"/>
      <c r="S986" s="3"/>
    </row>
    <row r="987" spans="17:19" x14ac:dyDescent="0.2">
      <c r="Q987" s="3"/>
      <c r="S987" s="3"/>
    </row>
    <row r="988" spans="17:19" x14ac:dyDescent="0.2">
      <c r="Q988" s="3"/>
      <c r="S988" s="3"/>
    </row>
    <row r="989" spans="17:19" x14ac:dyDescent="0.2">
      <c r="Q989" s="3"/>
      <c r="S989" s="3"/>
    </row>
    <row r="990" spans="17:19" x14ac:dyDescent="0.2">
      <c r="Q990" s="3"/>
      <c r="S990" s="3"/>
    </row>
    <row r="991" spans="17:19" x14ac:dyDescent="0.2">
      <c r="Q991" s="3"/>
      <c r="S991" s="3"/>
    </row>
    <row r="992" spans="17:19" x14ac:dyDescent="0.2">
      <c r="Q992" s="3"/>
      <c r="S992" s="3"/>
    </row>
    <row r="993" spans="17:19" x14ac:dyDescent="0.2">
      <c r="Q993" s="3"/>
      <c r="S993" s="3"/>
    </row>
    <row r="994" spans="17:19" x14ac:dyDescent="0.2">
      <c r="Q994" s="3"/>
      <c r="S994" s="3"/>
    </row>
    <row r="995" spans="17:19" x14ac:dyDescent="0.2">
      <c r="Q995" s="3"/>
      <c r="S995" s="3"/>
    </row>
    <row r="996" spans="17:19" x14ac:dyDescent="0.2">
      <c r="Q996" s="3"/>
      <c r="S996" s="3"/>
    </row>
    <row r="997" spans="17:19" x14ac:dyDescent="0.2">
      <c r="Q997" s="3"/>
      <c r="S997" s="3"/>
    </row>
    <row r="998" spans="17:19" x14ac:dyDescent="0.2">
      <c r="Q998" s="3"/>
      <c r="S998" s="3"/>
    </row>
    <row r="999" spans="17:19" x14ac:dyDescent="0.2">
      <c r="Q999" s="3"/>
      <c r="S999" s="3"/>
    </row>
    <row r="1000" spans="17:19" x14ac:dyDescent="0.2">
      <c r="Q1000" s="3"/>
      <c r="S1000" s="3"/>
    </row>
    <row r="1001" spans="17:19" x14ac:dyDescent="0.2">
      <c r="Q1001" s="3"/>
      <c r="S1001" s="3"/>
    </row>
    <row r="1002" spans="17:19" x14ac:dyDescent="0.2">
      <c r="Q1002" s="3"/>
      <c r="S1002" s="3"/>
    </row>
    <row r="1003" spans="17:19" x14ac:dyDescent="0.2">
      <c r="Q1003" s="3"/>
      <c r="S1003" s="3"/>
    </row>
    <row r="1004" spans="17:19" x14ac:dyDescent="0.2">
      <c r="Q1004" s="3"/>
      <c r="S1004" s="3"/>
    </row>
    <row r="1005" spans="17:19" x14ac:dyDescent="0.2">
      <c r="Q1005" s="3"/>
      <c r="S1005" s="3"/>
    </row>
    <row r="1006" spans="17:19" x14ac:dyDescent="0.2">
      <c r="Q1006" s="3"/>
      <c r="S1006" s="3"/>
    </row>
    <row r="1007" spans="17:19" x14ac:dyDescent="0.2">
      <c r="Q1007" s="3"/>
      <c r="S1007" s="3"/>
    </row>
    <row r="1008" spans="17:19" x14ac:dyDescent="0.2">
      <c r="Q1008" s="3"/>
      <c r="S1008" s="3"/>
    </row>
    <row r="1009" spans="17:19" x14ac:dyDescent="0.2">
      <c r="Q1009" s="3"/>
      <c r="S1009" s="3"/>
    </row>
    <row r="1010" spans="17:19" x14ac:dyDescent="0.2">
      <c r="Q1010" s="3"/>
      <c r="S1010" s="3"/>
    </row>
    <row r="1011" spans="17:19" x14ac:dyDescent="0.2">
      <c r="Q1011" s="3"/>
      <c r="S1011" s="3"/>
    </row>
    <row r="1012" spans="17:19" x14ac:dyDescent="0.2">
      <c r="Q1012" s="3"/>
      <c r="S1012" s="3"/>
    </row>
    <row r="1013" spans="17:19" x14ac:dyDescent="0.2">
      <c r="Q1013" s="3"/>
      <c r="S1013" s="3"/>
    </row>
    <row r="1014" spans="17:19" x14ac:dyDescent="0.2">
      <c r="Q1014" s="3"/>
      <c r="S1014" s="3"/>
    </row>
    <row r="1015" spans="17:19" x14ac:dyDescent="0.2">
      <c r="Q1015" s="3"/>
      <c r="S1015" s="3"/>
    </row>
    <row r="1016" spans="17:19" x14ac:dyDescent="0.2">
      <c r="Q1016" s="3"/>
      <c r="S1016" s="3"/>
    </row>
    <row r="1017" spans="17:19" x14ac:dyDescent="0.2">
      <c r="Q1017" s="3"/>
      <c r="S1017" s="3"/>
    </row>
    <row r="1018" spans="17:19" x14ac:dyDescent="0.2">
      <c r="Q1018" s="3"/>
      <c r="S1018" s="3"/>
    </row>
    <row r="1019" spans="17:19" x14ac:dyDescent="0.2">
      <c r="Q1019" s="3"/>
      <c r="S1019" s="3"/>
    </row>
    <row r="1020" spans="17:19" x14ac:dyDescent="0.2">
      <c r="Q1020" s="3"/>
      <c r="S1020" s="3"/>
    </row>
    <row r="1021" spans="17:19" x14ac:dyDescent="0.2">
      <c r="Q1021" s="3"/>
      <c r="S1021" s="3"/>
    </row>
    <row r="1022" spans="17:19" x14ac:dyDescent="0.2">
      <c r="Q1022" s="3"/>
      <c r="S1022" s="3"/>
    </row>
    <row r="1023" spans="17:19" x14ac:dyDescent="0.2">
      <c r="Q1023" s="3"/>
      <c r="S1023" s="3"/>
    </row>
    <row r="1024" spans="17:19" x14ac:dyDescent="0.2">
      <c r="Q1024" s="3"/>
      <c r="S1024" s="3"/>
    </row>
    <row r="1025" spans="17:19" x14ac:dyDescent="0.2">
      <c r="Q1025" s="3"/>
      <c r="S1025" s="3"/>
    </row>
    <row r="1026" spans="17:19" x14ac:dyDescent="0.2">
      <c r="Q1026" s="3"/>
      <c r="S1026" s="3"/>
    </row>
    <row r="1027" spans="17:19" x14ac:dyDescent="0.2">
      <c r="Q1027" s="3"/>
      <c r="S1027" s="3"/>
    </row>
    <row r="1028" spans="17:19" x14ac:dyDescent="0.2">
      <c r="Q1028" s="3"/>
      <c r="S1028" s="3"/>
    </row>
    <row r="1029" spans="17:19" x14ac:dyDescent="0.2">
      <c r="Q1029" s="3"/>
      <c r="S1029" s="3"/>
    </row>
    <row r="1030" spans="17:19" x14ac:dyDescent="0.2">
      <c r="Q1030" s="3"/>
      <c r="S1030" s="3"/>
    </row>
    <row r="1031" spans="17:19" x14ac:dyDescent="0.2">
      <c r="Q1031" s="3"/>
      <c r="S1031" s="3"/>
    </row>
    <row r="1032" spans="17:19" x14ac:dyDescent="0.2">
      <c r="Q1032" s="3"/>
      <c r="S1032" s="3"/>
    </row>
    <row r="1033" spans="17:19" x14ac:dyDescent="0.2">
      <c r="Q1033" s="3"/>
      <c r="S1033" s="3"/>
    </row>
    <row r="1034" spans="17:19" x14ac:dyDescent="0.2">
      <c r="Q1034" s="3"/>
      <c r="S1034" s="3"/>
    </row>
    <row r="1035" spans="17:19" x14ac:dyDescent="0.2">
      <c r="Q1035" s="3"/>
      <c r="S1035" s="3"/>
    </row>
    <row r="1036" spans="17:19" x14ac:dyDescent="0.2">
      <c r="Q1036" s="3"/>
      <c r="S1036" s="3"/>
    </row>
    <row r="1037" spans="17:19" x14ac:dyDescent="0.2">
      <c r="Q1037" s="3"/>
      <c r="S1037" s="3"/>
    </row>
    <row r="1038" spans="17:19" x14ac:dyDescent="0.2">
      <c r="Q1038" s="3"/>
      <c r="S1038" s="3"/>
    </row>
    <row r="1039" spans="17:19" x14ac:dyDescent="0.2">
      <c r="Q1039" s="3"/>
      <c r="S1039" s="3"/>
    </row>
    <row r="1040" spans="17:19" x14ac:dyDescent="0.2">
      <c r="Q1040" s="3"/>
      <c r="S1040" s="3"/>
    </row>
    <row r="1041" spans="17:19" x14ac:dyDescent="0.2">
      <c r="Q1041" s="3"/>
      <c r="S1041" s="3"/>
    </row>
    <row r="1042" spans="17:19" x14ac:dyDescent="0.2">
      <c r="Q1042" s="3"/>
      <c r="S1042" s="3"/>
    </row>
    <row r="1043" spans="17:19" x14ac:dyDescent="0.2">
      <c r="Q1043" s="3"/>
      <c r="S1043" s="3"/>
    </row>
    <row r="1044" spans="17:19" x14ac:dyDescent="0.2">
      <c r="Q1044" s="3"/>
      <c r="S1044" s="3"/>
    </row>
    <row r="1045" spans="17:19" x14ac:dyDescent="0.2">
      <c r="Q1045" s="3"/>
      <c r="S1045" s="3"/>
    </row>
    <row r="1046" spans="17:19" x14ac:dyDescent="0.2">
      <c r="Q1046" s="3"/>
      <c r="S1046" s="3"/>
    </row>
    <row r="1047" spans="17:19" x14ac:dyDescent="0.2">
      <c r="Q1047" s="3"/>
      <c r="S1047" s="3"/>
    </row>
    <row r="1048" spans="17:19" x14ac:dyDescent="0.2">
      <c r="Q1048" s="3"/>
      <c r="S1048" s="3"/>
    </row>
    <row r="1049" spans="17:19" x14ac:dyDescent="0.2">
      <c r="Q1049" s="3"/>
      <c r="S1049" s="3"/>
    </row>
    <row r="1050" spans="17:19" x14ac:dyDescent="0.2">
      <c r="Q1050" s="3"/>
      <c r="S1050" s="3"/>
    </row>
    <row r="1051" spans="17:19" x14ac:dyDescent="0.2">
      <c r="Q1051" s="3"/>
      <c r="S1051" s="3"/>
    </row>
    <row r="1052" spans="17:19" x14ac:dyDescent="0.2">
      <c r="Q1052" s="3"/>
      <c r="S1052" s="3"/>
    </row>
    <row r="1053" spans="17:19" x14ac:dyDescent="0.2">
      <c r="Q1053" s="3"/>
      <c r="S1053" s="3"/>
    </row>
    <row r="1054" spans="17:19" x14ac:dyDescent="0.2">
      <c r="Q1054" s="3"/>
      <c r="S1054" s="3"/>
    </row>
    <row r="1055" spans="17:19" x14ac:dyDescent="0.2">
      <c r="Q1055" s="3"/>
      <c r="S1055" s="3"/>
    </row>
    <row r="1056" spans="17:19" x14ac:dyDescent="0.2">
      <c r="Q1056" s="3"/>
      <c r="S1056" s="3"/>
    </row>
    <row r="1057" spans="17:19" x14ac:dyDescent="0.2">
      <c r="Q1057" s="3"/>
      <c r="S1057" s="3"/>
    </row>
    <row r="1058" spans="17:19" x14ac:dyDescent="0.2">
      <c r="Q1058" s="3"/>
      <c r="S1058" s="3"/>
    </row>
    <row r="1059" spans="17:19" x14ac:dyDescent="0.2">
      <c r="Q1059" s="3"/>
      <c r="S1059" s="3"/>
    </row>
    <row r="1060" spans="17:19" x14ac:dyDescent="0.2">
      <c r="Q1060" s="3"/>
      <c r="S1060" s="3"/>
    </row>
    <row r="1061" spans="17:19" x14ac:dyDescent="0.2">
      <c r="Q1061" s="3"/>
      <c r="S1061" s="3"/>
    </row>
    <row r="1062" spans="17:19" x14ac:dyDescent="0.2">
      <c r="Q1062" s="3"/>
      <c r="S1062" s="3"/>
    </row>
    <row r="1063" spans="17:19" x14ac:dyDescent="0.2">
      <c r="Q1063" s="3"/>
      <c r="S1063" s="3"/>
    </row>
    <row r="1064" spans="17:19" x14ac:dyDescent="0.2">
      <c r="Q1064" s="3"/>
      <c r="S1064" s="3"/>
    </row>
    <row r="1065" spans="17:19" x14ac:dyDescent="0.2">
      <c r="Q1065" s="3"/>
      <c r="S1065" s="3"/>
    </row>
    <row r="1066" spans="17:19" x14ac:dyDescent="0.2">
      <c r="Q1066" s="3"/>
      <c r="S1066" s="3"/>
    </row>
    <row r="1067" spans="17:19" x14ac:dyDescent="0.2">
      <c r="Q1067" s="3"/>
      <c r="S1067" s="3"/>
    </row>
    <row r="1068" spans="17:19" x14ac:dyDescent="0.2">
      <c r="Q1068" s="3"/>
      <c r="S1068" s="3"/>
    </row>
    <row r="1069" spans="17:19" x14ac:dyDescent="0.2">
      <c r="Q1069" s="3"/>
      <c r="S1069" s="3"/>
    </row>
    <row r="1070" spans="17:19" x14ac:dyDescent="0.2">
      <c r="Q1070" s="3"/>
      <c r="S1070" s="3"/>
    </row>
    <row r="1071" spans="17:19" x14ac:dyDescent="0.2">
      <c r="Q1071" s="3"/>
      <c r="S1071" s="3"/>
    </row>
    <row r="1072" spans="17:19" x14ac:dyDescent="0.2">
      <c r="Q1072" s="3"/>
      <c r="S1072" s="3"/>
    </row>
    <row r="1073" spans="17:19" x14ac:dyDescent="0.2">
      <c r="Q1073" s="3"/>
      <c r="S1073" s="3"/>
    </row>
    <row r="1074" spans="17:19" x14ac:dyDescent="0.2">
      <c r="Q1074" s="3"/>
      <c r="S1074" s="3"/>
    </row>
    <row r="1075" spans="17:19" x14ac:dyDescent="0.2">
      <c r="Q1075" s="3"/>
      <c r="S1075" s="3"/>
    </row>
    <row r="1076" spans="17:19" x14ac:dyDescent="0.2">
      <c r="Q1076" s="3"/>
      <c r="S1076" s="3"/>
    </row>
    <row r="1077" spans="17:19" x14ac:dyDescent="0.2">
      <c r="Q1077" s="3"/>
      <c r="S1077" s="3"/>
    </row>
    <row r="1078" spans="17:19" x14ac:dyDescent="0.2">
      <c r="Q1078" s="3"/>
      <c r="S1078" s="3"/>
    </row>
    <row r="1079" spans="17:19" x14ac:dyDescent="0.2">
      <c r="Q1079" s="3"/>
      <c r="S1079" s="3"/>
    </row>
    <row r="1080" spans="17:19" x14ac:dyDescent="0.2">
      <c r="Q1080" s="3"/>
      <c r="S1080" s="3"/>
    </row>
    <row r="1081" spans="17:19" x14ac:dyDescent="0.2">
      <c r="Q1081" s="3"/>
      <c r="S1081" s="3"/>
    </row>
    <row r="1082" spans="17:19" x14ac:dyDescent="0.2">
      <c r="Q1082" s="3"/>
      <c r="S1082" s="3"/>
    </row>
    <row r="1083" spans="17:19" x14ac:dyDescent="0.2">
      <c r="Q1083" s="3"/>
      <c r="S1083" s="3"/>
    </row>
    <row r="1084" spans="17:19" x14ac:dyDescent="0.2">
      <c r="Q1084" s="3"/>
      <c r="S1084" s="3"/>
    </row>
    <row r="1085" spans="17:19" x14ac:dyDescent="0.2">
      <c r="Q1085" s="3"/>
      <c r="S1085" s="3"/>
    </row>
    <row r="1086" spans="17:19" x14ac:dyDescent="0.2">
      <c r="Q1086" s="3"/>
      <c r="S1086" s="3"/>
    </row>
    <row r="1087" spans="17:19" x14ac:dyDescent="0.2">
      <c r="Q1087" s="3"/>
      <c r="S1087" s="3"/>
    </row>
    <row r="1088" spans="17:19" x14ac:dyDescent="0.2">
      <c r="Q1088" s="3"/>
      <c r="S1088" s="3"/>
    </row>
    <row r="1089" spans="17:19" x14ac:dyDescent="0.2">
      <c r="Q1089" s="3"/>
      <c r="S1089" s="3"/>
    </row>
    <row r="1090" spans="17:19" x14ac:dyDescent="0.2">
      <c r="Q1090" s="3"/>
      <c r="S1090" s="3"/>
    </row>
    <row r="1091" spans="17:19" x14ac:dyDescent="0.2">
      <c r="Q1091" s="3"/>
      <c r="S1091" s="3"/>
    </row>
    <row r="1092" spans="17:19" x14ac:dyDescent="0.2">
      <c r="Q1092" s="3"/>
      <c r="S1092" s="3"/>
    </row>
    <row r="1093" spans="17:19" x14ac:dyDescent="0.2">
      <c r="Q1093" s="3"/>
      <c r="S1093" s="3"/>
    </row>
    <row r="1094" spans="17:19" x14ac:dyDescent="0.2">
      <c r="Q1094" s="3"/>
      <c r="S1094" s="3"/>
    </row>
    <row r="1095" spans="17:19" x14ac:dyDescent="0.2">
      <c r="Q1095" s="3"/>
      <c r="S1095" s="3"/>
    </row>
    <row r="1096" spans="17:19" x14ac:dyDescent="0.2">
      <c r="Q1096" s="3"/>
      <c r="S1096" s="3"/>
    </row>
    <row r="1097" spans="17:19" x14ac:dyDescent="0.2">
      <c r="Q1097" s="3"/>
      <c r="S1097" s="3"/>
    </row>
    <row r="1098" spans="17:19" x14ac:dyDescent="0.2">
      <c r="Q1098" s="3"/>
      <c r="S1098" s="3"/>
    </row>
    <row r="1099" spans="17:19" x14ac:dyDescent="0.2">
      <c r="Q1099" s="3"/>
      <c r="S1099" s="3"/>
    </row>
    <row r="1100" spans="17:19" x14ac:dyDescent="0.2">
      <c r="Q1100" s="3"/>
      <c r="S1100" s="3"/>
    </row>
    <row r="1101" spans="17:19" x14ac:dyDescent="0.2">
      <c r="Q1101" s="3"/>
      <c r="S1101" s="3"/>
    </row>
    <row r="1102" spans="17:19" x14ac:dyDescent="0.2">
      <c r="Q1102" s="3"/>
      <c r="S1102" s="3"/>
    </row>
    <row r="1103" spans="17:19" x14ac:dyDescent="0.2">
      <c r="Q1103" s="3"/>
      <c r="S1103" s="3"/>
    </row>
    <row r="1104" spans="17:19" x14ac:dyDescent="0.2">
      <c r="Q1104" s="3"/>
      <c r="S1104" s="3"/>
    </row>
    <row r="1105" spans="17:19" x14ac:dyDescent="0.2">
      <c r="Q1105" s="3"/>
      <c r="S1105" s="3"/>
    </row>
    <row r="1106" spans="17:19" x14ac:dyDescent="0.2">
      <c r="Q1106" s="3"/>
      <c r="S1106" s="3"/>
    </row>
    <row r="1107" spans="17:19" x14ac:dyDescent="0.2">
      <c r="Q1107" s="3"/>
      <c r="S1107" s="3"/>
    </row>
    <row r="1108" spans="17:19" x14ac:dyDescent="0.2">
      <c r="Q1108" s="3"/>
      <c r="S1108" s="3"/>
    </row>
    <row r="1109" spans="17:19" x14ac:dyDescent="0.2">
      <c r="Q1109" s="3"/>
      <c r="S1109" s="3"/>
    </row>
    <row r="1110" spans="17:19" x14ac:dyDescent="0.2">
      <c r="Q1110" s="3"/>
      <c r="S1110" s="3"/>
    </row>
    <row r="1111" spans="17:19" x14ac:dyDescent="0.2">
      <c r="Q1111" s="3"/>
      <c r="S1111" s="3"/>
    </row>
    <row r="1112" spans="17:19" x14ac:dyDescent="0.2">
      <c r="Q1112" s="3"/>
      <c r="S1112" s="3"/>
    </row>
    <row r="1113" spans="17:19" x14ac:dyDescent="0.2">
      <c r="Q1113" s="3"/>
      <c r="S1113" s="3"/>
    </row>
    <row r="1114" spans="17:19" x14ac:dyDescent="0.2">
      <c r="Q1114" s="3"/>
      <c r="S1114" s="3"/>
    </row>
    <row r="1115" spans="17:19" x14ac:dyDescent="0.2">
      <c r="Q1115" s="3"/>
      <c r="S1115" s="3"/>
    </row>
    <row r="1116" spans="17:19" x14ac:dyDescent="0.2">
      <c r="Q1116" s="3"/>
      <c r="S1116" s="3"/>
    </row>
    <row r="1117" spans="17:19" x14ac:dyDescent="0.2">
      <c r="Q1117" s="3"/>
      <c r="S1117" s="3"/>
    </row>
    <row r="1118" spans="17:19" x14ac:dyDescent="0.2">
      <c r="Q1118" s="3"/>
      <c r="S1118" s="3"/>
    </row>
    <row r="1119" spans="17:19" x14ac:dyDescent="0.2">
      <c r="Q1119" s="3"/>
      <c r="S1119" s="3"/>
    </row>
    <row r="1120" spans="17:19" x14ac:dyDescent="0.2">
      <c r="Q1120" s="3"/>
      <c r="S1120" s="3"/>
    </row>
    <row r="1121" spans="17:19" x14ac:dyDescent="0.2">
      <c r="Q1121" s="3"/>
      <c r="S1121" s="3"/>
    </row>
    <row r="1122" spans="17:19" x14ac:dyDescent="0.2">
      <c r="Q1122" s="3"/>
      <c r="S1122" s="3"/>
    </row>
    <row r="1123" spans="17:19" x14ac:dyDescent="0.2">
      <c r="Q1123" s="3"/>
      <c r="S1123" s="3"/>
    </row>
    <row r="1124" spans="17:19" x14ac:dyDescent="0.2">
      <c r="Q1124" s="3"/>
      <c r="S1124" s="3"/>
    </row>
    <row r="1125" spans="17:19" x14ac:dyDescent="0.2">
      <c r="Q1125" s="3"/>
      <c r="S1125" s="3"/>
    </row>
    <row r="1126" spans="17:19" x14ac:dyDescent="0.2">
      <c r="Q1126" s="3"/>
      <c r="S1126" s="3"/>
    </row>
    <row r="1127" spans="17:19" x14ac:dyDescent="0.2">
      <c r="Q1127" s="3"/>
      <c r="S1127" s="3"/>
    </row>
    <row r="1128" spans="17:19" x14ac:dyDescent="0.2">
      <c r="Q1128" s="3"/>
      <c r="S1128" s="3"/>
    </row>
    <row r="1129" spans="17:19" x14ac:dyDescent="0.2">
      <c r="Q1129" s="3"/>
      <c r="S1129" s="3"/>
    </row>
    <row r="1130" spans="17:19" x14ac:dyDescent="0.2">
      <c r="Q1130" s="3"/>
      <c r="S1130" s="3"/>
    </row>
    <row r="1131" spans="17:19" x14ac:dyDescent="0.2">
      <c r="Q1131" s="3"/>
      <c r="S1131" s="3"/>
    </row>
    <row r="1132" spans="17:19" x14ac:dyDescent="0.2">
      <c r="Q1132" s="3"/>
      <c r="S1132" s="3"/>
    </row>
    <row r="1133" spans="17:19" x14ac:dyDescent="0.2">
      <c r="Q1133" s="3"/>
      <c r="S1133" s="3"/>
    </row>
    <row r="1134" spans="17:19" x14ac:dyDescent="0.2">
      <c r="Q1134" s="3"/>
      <c r="S1134" s="3"/>
    </row>
    <row r="1135" spans="17:19" x14ac:dyDescent="0.2">
      <c r="Q1135" s="3"/>
      <c r="S1135" s="3"/>
    </row>
    <row r="1136" spans="17:19" x14ac:dyDescent="0.2">
      <c r="Q1136" s="3"/>
      <c r="S1136" s="3"/>
    </row>
    <row r="1137" spans="17:19" x14ac:dyDescent="0.2">
      <c r="Q1137" s="3"/>
      <c r="S1137" s="3"/>
    </row>
    <row r="1138" spans="17:19" x14ac:dyDescent="0.2">
      <c r="Q1138" s="3"/>
      <c r="S1138" s="3"/>
    </row>
    <row r="1139" spans="17:19" x14ac:dyDescent="0.2">
      <c r="Q1139" s="3"/>
      <c r="S1139" s="3"/>
    </row>
    <row r="1140" spans="17:19" x14ac:dyDescent="0.2">
      <c r="Q1140" s="3"/>
      <c r="S1140" s="3"/>
    </row>
    <row r="1141" spans="17:19" x14ac:dyDescent="0.2">
      <c r="Q1141" s="3"/>
      <c r="S1141" s="3"/>
    </row>
    <row r="1142" spans="17:19" x14ac:dyDescent="0.2">
      <c r="Q1142" s="3"/>
      <c r="S1142" s="3"/>
    </row>
    <row r="1143" spans="17:19" x14ac:dyDescent="0.2">
      <c r="Q1143" s="3"/>
      <c r="S1143" s="3"/>
    </row>
    <row r="1144" spans="17:19" x14ac:dyDescent="0.2">
      <c r="Q1144" s="3"/>
      <c r="S1144" s="3"/>
    </row>
    <row r="1145" spans="17:19" x14ac:dyDescent="0.2">
      <c r="Q1145" s="3"/>
      <c r="S1145" s="3"/>
    </row>
    <row r="1146" spans="17:19" x14ac:dyDescent="0.2">
      <c r="Q1146" s="3"/>
      <c r="S1146" s="3"/>
    </row>
    <row r="1147" spans="17:19" x14ac:dyDescent="0.2">
      <c r="Q1147" s="3"/>
      <c r="S1147" s="3"/>
    </row>
    <row r="1148" spans="17:19" x14ac:dyDescent="0.2">
      <c r="Q1148" s="3"/>
      <c r="S1148" s="3"/>
    </row>
    <row r="1149" spans="17:19" x14ac:dyDescent="0.2">
      <c r="Q1149" s="3"/>
      <c r="S1149" s="3"/>
    </row>
    <row r="1150" spans="17:19" x14ac:dyDescent="0.2">
      <c r="Q1150" s="3"/>
      <c r="S1150" s="3"/>
    </row>
    <row r="1151" spans="17:19" x14ac:dyDescent="0.2">
      <c r="Q1151" s="3"/>
      <c r="S1151" s="3"/>
    </row>
    <row r="1152" spans="17:19" x14ac:dyDescent="0.2">
      <c r="Q1152" s="3"/>
      <c r="S1152" s="3"/>
    </row>
    <row r="1153" spans="17:19" x14ac:dyDescent="0.2">
      <c r="Q1153" s="3"/>
      <c r="S1153" s="3"/>
    </row>
    <row r="1154" spans="17:19" x14ac:dyDescent="0.2">
      <c r="Q1154" s="3"/>
      <c r="S1154" s="3"/>
    </row>
    <row r="1155" spans="17:19" x14ac:dyDescent="0.2">
      <c r="Q1155" s="3"/>
      <c r="S1155" s="3"/>
    </row>
    <row r="1156" spans="17:19" x14ac:dyDescent="0.2">
      <c r="Q1156" s="3"/>
      <c r="S1156" s="3"/>
    </row>
    <row r="1157" spans="17:19" x14ac:dyDescent="0.2">
      <c r="Q1157" s="3"/>
      <c r="S1157" s="3"/>
    </row>
    <row r="1158" spans="17:19" x14ac:dyDescent="0.2">
      <c r="Q1158" s="3"/>
      <c r="S1158" s="3"/>
    </row>
    <row r="1159" spans="17:19" x14ac:dyDescent="0.2">
      <c r="Q1159" s="3"/>
      <c r="S1159" s="3"/>
    </row>
    <row r="1160" spans="17:19" x14ac:dyDescent="0.2">
      <c r="Q1160" s="3"/>
      <c r="S1160" s="3"/>
    </row>
    <row r="1161" spans="17:19" x14ac:dyDescent="0.2">
      <c r="Q1161" s="3"/>
      <c r="S1161" s="3"/>
    </row>
    <row r="1162" spans="17:19" x14ac:dyDescent="0.2">
      <c r="Q1162" s="3"/>
      <c r="S1162" s="3"/>
    </row>
    <row r="1163" spans="17:19" x14ac:dyDescent="0.2">
      <c r="Q1163" s="3"/>
      <c r="S1163" s="3"/>
    </row>
    <row r="1164" spans="17:19" x14ac:dyDescent="0.2">
      <c r="Q1164" s="3"/>
      <c r="S1164" s="3"/>
    </row>
    <row r="1165" spans="17:19" x14ac:dyDescent="0.2">
      <c r="Q1165" s="3"/>
      <c r="S1165" s="3"/>
    </row>
    <row r="1166" spans="17:19" x14ac:dyDescent="0.2">
      <c r="Q1166" s="3"/>
      <c r="S1166" s="3"/>
    </row>
    <row r="1167" spans="17:19" x14ac:dyDescent="0.2">
      <c r="Q1167" s="3"/>
      <c r="S1167" s="3"/>
    </row>
    <row r="1168" spans="17:19" x14ac:dyDescent="0.2">
      <c r="Q1168" s="3"/>
      <c r="S1168" s="3"/>
    </row>
    <row r="1169" spans="17:19" x14ac:dyDescent="0.2">
      <c r="Q1169" s="3"/>
      <c r="S1169" s="3"/>
    </row>
    <row r="1170" spans="17:19" x14ac:dyDescent="0.2">
      <c r="Q1170" s="3"/>
      <c r="S1170" s="3"/>
    </row>
    <row r="1171" spans="17:19" x14ac:dyDescent="0.2">
      <c r="Q1171" s="3"/>
      <c r="S1171" s="3"/>
    </row>
    <row r="1172" spans="17:19" x14ac:dyDescent="0.2">
      <c r="Q1172" s="3"/>
      <c r="S1172" s="3"/>
    </row>
    <row r="1173" spans="17:19" x14ac:dyDescent="0.2">
      <c r="Q1173" s="3"/>
      <c r="S1173" s="3"/>
    </row>
    <row r="1174" spans="17:19" x14ac:dyDescent="0.2">
      <c r="Q1174" s="3"/>
      <c r="S1174" s="3"/>
    </row>
    <row r="1175" spans="17:19" x14ac:dyDescent="0.2">
      <c r="Q1175" s="3"/>
      <c r="S1175" s="3"/>
    </row>
    <row r="1176" spans="17:19" x14ac:dyDescent="0.2">
      <c r="Q1176" s="3"/>
      <c r="S1176" s="3"/>
    </row>
    <row r="1177" spans="17:19" x14ac:dyDescent="0.2">
      <c r="Q1177" s="3"/>
      <c r="S1177" s="3"/>
    </row>
    <row r="1178" spans="17:19" x14ac:dyDescent="0.2">
      <c r="Q1178" s="3"/>
      <c r="S1178" s="3"/>
    </row>
    <row r="1179" spans="17:19" x14ac:dyDescent="0.2">
      <c r="Q1179" s="3"/>
      <c r="S1179" s="3"/>
    </row>
    <row r="1180" spans="17:19" x14ac:dyDescent="0.2">
      <c r="Q1180" s="3"/>
      <c r="S1180" s="3"/>
    </row>
    <row r="1181" spans="17:19" x14ac:dyDescent="0.2">
      <c r="Q1181" s="3"/>
      <c r="S1181" s="3"/>
    </row>
    <row r="1182" spans="17:19" x14ac:dyDescent="0.2">
      <c r="Q1182" s="3"/>
      <c r="S1182" s="3"/>
    </row>
    <row r="1183" spans="17:19" x14ac:dyDescent="0.2">
      <c r="Q1183" s="3"/>
      <c r="S1183" s="3"/>
    </row>
    <row r="1184" spans="17:19" x14ac:dyDescent="0.2">
      <c r="Q1184" s="3"/>
      <c r="S1184" s="3"/>
    </row>
    <row r="1185" spans="17:19" x14ac:dyDescent="0.2">
      <c r="Q1185" s="3"/>
      <c r="S1185" s="3"/>
    </row>
    <row r="1186" spans="17:19" x14ac:dyDescent="0.2">
      <c r="Q1186" s="3"/>
      <c r="S1186" s="3"/>
    </row>
    <row r="1187" spans="17:19" x14ac:dyDescent="0.2">
      <c r="Q1187" s="3"/>
      <c r="S1187" s="3"/>
    </row>
    <row r="1188" spans="17:19" x14ac:dyDescent="0.2">
      <c r="Q1188" s="3"/>
      <c r="S1188" s="3"/>
    </row>
    <row r="1189" spans="17:19" x14ac:dyDescent="0.2">
      <c r="Q1189" s="3"/>
      <c r="S1189" s="3"/>
    </row>
    <row r="1190" spans="17:19" x14ac:dyDescent="0.2">
      <c r="Q1190" s="3"/>
      <c r="S1190" s="3"/>
    </row>
    <row r="1191" spans="17:19" x14ac:dyDescent="0.2">
      <c r="Q1191" s="3"/>
      <c r="S1191" s="3"/>
    </row>
    <row r="1192" spans="17:19" x14ac:dyDescent="0.2">
      <c r="Q1192" s="3"/>
      <c r="S1192" s="3"/>
    </row>
    <row r="1193" spans="17:19" x14ac:dyDescent="0.2">
      <c r="Q1193" s="3"/>
      <c r="S1193" s="3"/>
    </row>
    <row r="1194" spans="17:19" x14ac:dyDescent="0.2">
      <c r="Q1194" s="3"/>
      <c r="S1194" s="3"/>
    </row>
    <row r="1195" spans="17:19" x14ac:dyDescent="0.2">
      <c r="Q1195" s="3"/>
      <c r="S1195" s="3"/>
    </row>
    <row r="1196" spans="17:19" x14ac:dyDescent="0.2">
      <c r="Q1196" s="3"/>
      <c r="S1196" s="3"/>
    </row>
    <row r="1197" spans="17:19" x14ac:dyDescent="0.2">
      <c r="Q1197" s="3"/>
      <c r="S1197" s="3"/>
    </row>
    <row r="1198" spans="17:19" x14ac:dyDescent="0.2">
      <c r="Q1198" s="3"/>
      <c r="S1198" s="3"/>
    </row>
    <row r="1199" spans="17:19" x14ac:dyDescent="0.2">
      <c r="Q1199" s="3"/>
      <c r="S1199" s="3"/>
    </row>
    <row r="1200" spans="17:19" x14ac:dyDescent="0.2">
      <c r="Q1200" s="3"/>
      <c r="S1200" s="3"/>
    </row>
    <row r="1201" spans="17:19" x14ac:dyDescent="0.2">
      <c r="Q1201" s="3"/>
      <c r="S1201" s="3"/>
    </row>
    <row r="1202" spans="17:19" x14ac:dyDescent="0.2">
      <c r="Q1202" s="3"/>
      <c r="S1202" s="3"/>
    </row>
    <row r="1203" spans="17:19" x14ac:dyDescent="0.2">
      <c r="Q1203" s="3"/>
      <c r="S1203" s="3"/>
    </row>
    <row r="1204" spans="17:19" x14ac:dyDescent="0.2">
      <c r="Q1204" s="3"/>
      <c r="S1204" s="3"/>
    </row>
    <row r="1205" spans="17:19" x14ac:dyDescent="0.2">
      <c r="Q1205" s="3"/>
      <c r="S1205" s="3"/>
    </row>
    <row r="1206" spans="17:19" x14ac:dyDescent="0.2">
      <c r="Q1206" s="3"/>
      <c r="S1206" s="3"/>
    </row>
    <row r="1207" spans="17:19" x14ac:dyDescent="0.2">
      <c r="Q1207" s="3"/>
      <c r="S1207" s="3"/>
    </row>
    <row r="1208" spans="17:19" x14ac:dyDescent="0.2">
      <c r="Q1208" s="3"/>
      <c r="S1208" s="3"/>
    </row>
    <row r="1209" spans="17:19" x14ac:dyDescent="0.2">
      <c r="Q1209" s="3"/>
      <c r="S1209" s="3"/>
    </row>
    <row r="1210" spans="17:19" x14ac:dyDescent="0.2">
      <c r="Q1210" s="3"/>
      <c r="S1210" s="3"/>
    </row>
    <row r="1211" spans="17:19" x14ac:dyDescent="0.2">
      <c r="Q1211" s="3"/>
      <c r="S1211" s="3"/>
    </row>
    <row r="1212" spans="17:19" x14ac:dyDescent="0.2">
      <c r="Q1212" s="3"/>
      <c r="S1212" s="3"/>
    </row>
    <row r="1213" spans="17:19" x14ac:dyDescent="0.2">
      <c r="Q1213" s="3"/>
      <c r="S1213" s="3"/>
    </row>
    <row r="1214" spans="17:19" x14ac:dyDescent="0.2">
      <c r="Q1214" s="3"/>
      <c r="S1214" s="3"/>
    </row>
    <row r="1215" spans="17:19" x14ac:dyDescent="0.2">
      <c r="Q1215" s="3"/>
      <c r="S1215" s="3"/>
    </row>
    <row r="1216" spans="17:19" x14ac:dyDescent="0.2">
      <c r="Q1216" s="3"/>
      <c r="S1216" s="3"/>
    </row>
    <row r="1217" spans="17:19" x14ac:dyDescent="0.2">
      <c r="Q1217" s="3"/>
      <c r="S1217" s="3"/>
    </row>
    <row r="1218" spans="17:19" x14ac:dyDescent="0.2">
      <c r="Q1218" s="3"/>
      <c r="S1218" s="3"/>
    </row>
    <row r="1219" spans="17:19" x14ac:dyDescent="0.2">
      <c r="Q1219" s="3"/>
      <c r="S1219" s="3"/>
    </row>
    <row r="1220" spans="17:19" x14ac:dyDescent="0.2">
      <c r="Q1220" s="3"/>
      <c r="S1220" s="3"/>
    </row>
    <row r="1221" spans="17:19" x14ac:dyDescent="0.2">
      <c r="Q1221" s="3"/>
      <c r="S1221" s="3"/>
    </row>
    <row r="1222" spans="17:19" x14ac:dyDescent="0.2">
      <c r="Q1222" s="3"/>
      <c r="S1222" s="3"/>
    </row>
    <row r="1223" spans="17:19" x14ac:dyDescent="0.2">
      <c r="Q1223" s="3"/>
      <c r="S1223" s="3"/>
    </row>
    <row r="1224" spans="17:19" x14ac:dyDescent="0.2">
      <c r="Q1224" s="3"/>
      <c r="S1224" s="3"/>
    </row>
    <row r="1225" spans="17:19" x14ac:dyDescent="0.2">
      <c r="Q1225" s="3"/>
      <c r="S1225" s="3"/>
    </row>
    <row r="1226" spans="17:19" x14ac:dyDescent="0.2">
      <c r="Q1226" s="3"/>
      <c r="S1226" s="3"/>
    </row>
    <row r="1227" spans="17:19" x14ac:dyDescent="0.2">
      <c r="Q1227" s="3"/>
      <c r="S1227" s="3"/>
    </row>
    <row r="1228" spans="17:19" x14ac:dyDescent="0.2">
      <c r="Q1228" s="3"/>
      <c r="S1228" s="3"/>
    </row>
    <row r="1229" spans="17:19" x14ac:dyDescent="0.2">
      <c r="Q1229" s="3"/>
      <c r="S1229" s="3"/>
    </row>
    <row r="1230" spans="17:19" x14ac:dyDescent="0.2">
      <c r="Q1230" s="3"/>
      <c r="S1230" s="3"/>
    </row>
    <row r="1231" spans="17:19" x14ac:dyDescent="0.2">
      <c r="Q1231" s="3"/>
      <c r="S1231" s="3"/>
    </row>
    <row r="1232" spans="17:19" x14ac:dyDescent="0.2">
      <c r="Q1232" s="3"/>
      <c r="S1232" s="3"/>
    </row>
    <row r="1233" spans="17:19" x14ac:dyDescent="0.2">
      <c r="Q1233" s="3"/>
      <c r="S1233" s="3"/>
    </row>
    <row r="1234" spans="17:19" x14ac:dyDescent="0.2">
      <c r="Q1234" s="3"/>
      <c r="S1234" s="3"/>
    </row>
    <row r="1235" spans="17:19" x14ac:dyDescent="0.2">
      <c r="Q1235" s="3"/>
      <c r="S1235" s="3"/>
    </row>
    <row r="1236" spans="17:19" x14ac:dyDescent="0.2">
      <c r="Q1236" s="3"/>
      <c r="S1236" s="3"/>
    </row>
    <row r="1237" spans="17:19" x14ac:dyDescent="0.2">
      <c r="Q1237" s="3"/>
      <c r="S1237" s="3"/>
    </row>
    <row r="1238" spans="17:19" x14ac:dyDescent="0.2">
      <c r="Q1238" s="3"/>
      <c r="S1238" s="3"/>
    </row>
    <row r="1239" spans="17:19" x14ac:dyDescent="0.2">
      <c r="Q1239" s="3"/>
      <c r="S1239" s="3"/>
    </row>
    <row r="1240" spans="17:19" x14ac:dyDescent="0.2">
      <c r="Q1240" s="3"/>
      <c r="S1240" s="3"/>
    </row>
    <row r="1241" spans="17:19" x14ac:dyDescent="0.2">
      <c r="Q1241" s="3"/>
      <c r="S1241" s="3"/>
    </row>
    <row r="1242" spans="17:19" x14ac:dyDescent="0.2">
      <c r="Q1242" s="3"/>
      <c r="S1242" s="3"/>
    </row>
    <row r="1243" spans="17:19" x14ac:dyDescent="0.2">
      <c r="Q1243" s="3"/>
      <c r="S1243" s="3"/>
    </row>
    <row r="1244" spans="17:19" x14ac:dyDescent="0.2">
      <c r="Q1244" s="3"/>
      <c r="S1244" s="3"/>
    </row>
    <row r="1245" spans="17:19" x14ac:dyDescent="0.2">
      <c r="Q1245" s="3"/>
      <c r="S1245" s="3"/>
    </row>
    <row r="1246" spans="17:19" x14ac:dyDescent="0.2">
      <c r="Q1246" s="3"/>
      <c r="S1246" s="3"/>
    </row>
    <row r="1247" spans="17:19" x14ac:dyDescent="0.2">
      <c r="Q1247" s="3"/>
      <c r="S1247" s="3"/>
    </row>
    <row r="1248" spans="17:19" x14ac:dyDescent="0.2">
      <c r="Q1248" s="3"/>
      <c r="S1248" s="3"/>
    </row>
    <row r="1249" spans="17:19" x14ac:dyDescent="0.2">
      <c r="Q1249" s="3"/>
      <c r="S1249" s="3"/>
    </row>
    <row r="1250" spans="17:19" x14ac:dyDescent="0.2">
      <c r="Q1250" s="3"/>
      <c r="S1250" s="3"/>
    </row>
    <row r="1251" spans="17:19" x14ac:dyDescent="0.2">
      <c r="Q1251" s="3"/>
      <c r="S1251" s="3"/>
    </row>
    <row r="1252" spans="17:19" x14ac:dyDescent="0.2">
      <c r="Q1252" s="3"/>
      <c r="S1252" s="3"/>
    </row>
    <row r="1253" spans="17:19" x14ac:dyDescent="0.2">
      <c r="Q1253" s="3"/>
      <c r="S1253" s="3"/>
    </row>
    <row r="1254" spans="17:19" x14ac:dyDescent="0.2">
      <c r="Q1254" s="3"/>
      <c r="S1254" s="3"/>
    </row>
    <row r="1255" spans="17:19" x14ac:dyDescent="0.2">
      <c r="Q1255" s="3"/>
      <c r="S1255" s="3"/>
    </row>
    <row r="1256" spans="17:19" x14ac:dyDescent="0.2">
      <c r="Q1256" s="3"/>
      <c r="S1256" s="3"/>
    </row>
    <row r="1257" spans="17:19" x14ac:dyDescent="0.2">
      <c r="Q1257" s="3"/>
      <c r="S1257" s="3"/>
    </row>
    <row r="1258" spans="17:19" x14ac:dyDescent="0.2">
      <c r="Q1258" s="3"/>
      <c r="S1258" s="3"/>
    </row>
    <row r="1259" spans="17:19" x14ac:dyDescent="0.2">
      <c r="Q1259" s="3"/>
      <c r="S1259" s="3"/>
    </row>
    <row r="1260" spans="17:19" x14ac:dyDescent="0.2">
      <c r="Q1260" s="3"/>
      <c r="S1260" s="3"/>
    </row>
    <row r="1261" spans="17:19" x14ac:dyDescent="0.2">
      <c r="Q1261" s="3"/>
      <c r="S1261" s="3"/>
    </row>
    <row r="1262" spans="17:19" x14ac:dyDescent="0.2">
      <c r="Q1262" s="3"/>
      <c r="S1262" s="3"/>
    </row>
    <row r="1263" spans="17:19" x14ac:dyDescent="0.2">
      <c r="Q1263" s="3"/>
      <c r="S1263" s="3"/>
    </row>
    <row r="1264" spans="17:19" x14ac:dyDescent="0.2">
      <c r="Q1264" s="3"/>
      <c r="S1264" s="3"/>
    </row>
    <row r="1265" spans="17:19" x14ac:dyDescent="0.2">
      <c r="Q1265" s="3"/>
      <c r="S1265" s="3"/>
    </row>
    <row r="1266" spans="17:19" x14ac:dyDescent="0.2">
      <c r="Q1266" s="3"/>
      <c r="S1266" s="3"/>
    </row>
    <row r="1267" spans="17:19" x14ac:dyDescent="0.2">
      <c r="Q1267" s="3"/>
      <c r="S1267" s="3"/>
    </row>
    <row r="1268" spans="17:19" x14ac:dyDescent="0.2">
      <c r="Q1268" s="3"/>
      <c r="S1268" s="3"/>
    </row>
    <row r="1269" spans="17:19" x14ac:dyDescent="0.2">
      <c r="Q1269" s="3"/>
      <c r="S1269" s="3"/>
    </row>
    <row r="1270" spans="17:19" x14ac:dyDescent="0.2">
      <c r="Q1270" s="3"/>
      <c r="S1270" s="3"/>
    </row>
    <row r="1271" spans="17:19" x14ac:dyDescent="0.2">
      <c r="Q1271" s="3"/>
      <c r="S1271" s="3"/>
    </row>
    <row r="1272" spans="17:19" x14ac:dyDescent="0.2">
      <c r="Q1272" s="3"/>
      <c r="S1272" s="3"/>
    </row>
    <row r="1273" spans="17:19" x14ac:dyDescent="0.2">
      <c r="Q1273" s="3"/>
      <c r="S1273" s="3"/>
    </row>
    <row r="1274" spans="17:19" x14ac:dyDescent="0.2">
      <c r="Q1274" s="3"/>
      <c r="S1274" s="3"/>
    </row>
    <row r="1275" spans="17:19" x14ac:dyDescent="0.2">
      <c r="Q1275" s="3"/>
      <c r="S1275" s="3"/>
    </row>
    <row r="1276" spans="17:19" x14ac:dyDescent="0.2">
      <c r="Q1276" s="3"/>
      <c r="S1276" s="3"/>
    </row>
    <row r="1277" spans="17:19" x14ac:dyDescent="0.2">
      <c r="Q1277" s="3"/>
      <c r="S1277" s="3"/>
    </row>
    <row r="1278" spans="17:19" x14ac:dyDescent="0.2">
      <c r="Q1278" s="3"/>
      <c r="S1278" s="3"/>
    </row>
    <row r="1279" spans="17:19" x14ac:dyDescent="0.2">
      <c r="Q1279" s="3"/>
      <c r="S1279" s="3"/>
    </row>
    <row r="1280" spans="17:19" x14ac:dyDescent="0.2">
      <c r="Q1280" s="3"/>
      <c r="S1280" s="3"/>
    </row>
    <row r="1281" spans="17:19" x14ac:dyDescent="0.2">
      <c r="Q1281" s="3"/>
      <c r="S1281" s="3"/>
    </row>
    <row r="1282" spans="17:19" x14ac:dyDescent="0.2">
      <c r="Q1282" s="3"/>
      <c r="S1282" s="3"/>
    </row>
    <row r="1283" spans="17:19" x14ac:dyDescent="0.2">
      <c r="Q1283" s="3"/>
      <c r="S1283" s="3"/>
    </row>
    <row r="1284" spans="17:19" x14ac:dyDescent="0.2">
      <c r="Q1284" s="3"/>
      <c r="S1284" s="3"/>
    </row>
    <row r="1285" spans="17:19" x14ac:dyDescent="0.2">
      <c r="Q1285" s="3"/>
      <c r="S1285" s="3"/>
    </row>
    <row r="1286" spans="17:19" x14ac:dyDescent="0.2">
      <c r="Q1286" s="3"/>
      <c r="S1286" s="3"/>
    </row>
    <row r="1287" spans="17:19" x14ac:dyDescent="0.2">
      <c r="Q1287" s="3"/>
      <c r="S1287" s="3"/>
    </row>
    <row r="1288" spans="17:19" x14ac:dyDescent="0.2">
      <c r="Q1288" s="3"/>
      <c r="S1288" s="3"/>
    </row>
    <row r="1289" spans="17:19" x14ac:dyDescent="0.2">
      <c r="Q1289" s="3"/>
      <c r="S1289" s="3"/>
    </row>
    <row r="1290" spans="17:19" x14ac:dyDescent="0.2">
      <c r="Q1290" s="3"/>
      <c r="S1290" s="3"/>
    </row>
    <row r="1291" spans="17:19" x14ac:dyDescent="0.2">
      <c r="Q1291" s="3"/>
      <c r="S1291" s="3"/>
    </row>
    <row r="1292" spans="17:19" x14ac:dyDescent="0.2">
      <c r="Q1292" s="3"/>
      <c r="S1292" s="3"/>
    </row>
    <row r="1293" spans="17:19" x14ac:dyDescent="0.2">
      <c r="Q1293" s="3"/>
      <c r="S1293" s="3"/>
    </row>
    <row r="1294" spans="17:19" x14ac:dyDescent="0.2">
      <c r="Q1294" s="3"/>
      <c r="S1294" s="3"/>
    </row>
    <row r="1295" spans="17:19" x14ac:dyDescent="0.2">
      <c r="Q1295" s="3"/>
      <c r="S1295" s="3"/>
    </row>
    <row r="1296" spans="17:19" x14ac:dyDescent="0.2">
      <c r="Q1296" s="3"/>
      <c r="S1296" s="3"/>
    </row>
    <row r="1297" spans="17:19" x14ac:dyDescent="0.2">
      <c r="Q1297" s="3"/>
      <c r="S1297" s="3"/>
    </row>
    <row r="1298" spans="17:19" x14ac:dyDescent="0.2">
      <c r="Q1298" s="3"/>
      <c r="S1298" s="3"/>
    </row>
    <row r="1299" spans="17:19" x14ac:dyDescent="0.2">
      <c r="Q1299" s="3"/>
      <c r="S1299" s="3"/>
    </row>
    <row r="1300" spans="17:19" x14ac:dyDescent="0.2">
      <c r="Q1300" s="3"/>
      <c r="S1300" s="3"/>
    </row>
    <row r="1301" spans="17:19" x14ac:dyDescent="0.2">
      <c r="Q1301" s="3"/>
      <c r="S1301" s="3"/>
    </row>
    <row r="1302" spans="17:19" x14ac:dyDescent="0.2">
      <c r="Q1302" s="3"/>
      <c r="S1302" s="3"/>
    </row>
    <row r="1303" spans="17:19" x14ac:dyDescent="0.2">
      <c r="Q1303" s="3"/>
      <c r="S1303" s="3"/>
    </row>
    <row r="1304" spans="17:19" x14ac:dyDescent="0.2">
      <c r="Q1304" s="3"/>
      <c r="S1304" s="3"/>
    </row>
    <row r="1305" spans="17:19" x14ac:dyDescent="0.2">
      <c r="Q1305" s="3"/>
      <c r="S1305" s="3"/>
    </row>
    <row r="1306" spans="17:19" x14ac:dyDescent="0.2">
      <c r="Q1306" s="3"/>
      <c r="S1306" s="3"/>
    </row>
    <row r="1307" spans="17:19" x14ac:dyDescent="0.2">
      <c r="Q1307" s="3"/>
      <c r="S1307" s="3"/>
    </row>
    <row r="1308" spans="17:19" x14ac:dyDescent="0.2">
      <c r="Q1308" s="3"/>
      <c r="S1308" s="3"/>
    </row>
    <row r="1309" spans="17:19" x14ac:dyDescent="0.2">
      <c r="Q1309" s="3"/>
      <c r="S1309" s="3"/>
    </row>
    <row r="1310" spans="17:19" x14ac:dyDescent="0.2">
      <c r="Q1310" s="3"/>
      <c r="S1310" s="3"/>
    </row>
    <row r="1311" spans="17:19" x14ac:dyDescent="0.2">
      <c r="Q1311" s="3"/>
      <c r="S1311" s="3"/>
    </row>
    <row r="1312" spans="17:19" x14ac:dyDescent="0.2">
      <c r="Q1312" s="3"/>
      <c r="S1312" s="3"/>
    </row>
    <row r="1313" spans="17:19" x14ac:dyDescent="0.2">
      <c r="Q1313" s="3"/>
      <c r="S1313" s="3"/>
    </row>
    <row r="1314" spans="17:19" x14ac:dyDescent="0.2">
      <c r="Q1314" s="3"/>
      <c r="S1314" s="3"/>
    </row>
    <row r="1315" spans="17:19" x14ac:dyDescent="0.2">
      <c r="Q1315" s="3"/>
      <c r="S1315" s="3"/>
    </row>
    <row r="1316" spans="17:19" x14ac:dyDescent="0.2">
      <c r="Q1316" s="3"/>
      <c r="S1316" s="3"/>
    </row>
    <row r="1317" spans="17:19" x14ac:dyDescent="0.2">
      <c r="Q1317" s="3"/>
      <c r="S1317" s="3"/>
    </row>
    <row r="1318" spans="17:19" x14ac:dyDescent="0.2">
      <c r="Q1318" s="3"/>
      <c r="S1318" s="3"/>
    </row>
    <row r="1319" spans="17:19" x14ac:dyDescent="0.2">
      <c r="Q1319" s="3"/>
      <c r="S1319" s="3"/>
    </row>
    <row r="1320" spans="17:19" x14ac:dyDescent="0.2">
      <c r="Q1320" s="3"/>
      <c r="S1320" s="3"/>
    </row>
    <row r="1321" spans="17:19" x14ac:dyDescent="0.2">
      <c r="Q1321" s="3"/>
      <c r="S1321" s="3"/>
    </row>
    <row r="1322" spans="17:19" x14ac:dyDescent="0.2">
      <c r="Q1322" s="3"/>
      <c r="S1322" s="3"/>
    </row>
    <row r="1323" spans="17:19" x14ac:dyDescent="0.2">
      <c r="Q1323" s="3"/>
      <c r="S1323" s="3"/>
    </row>
    <row r="1324" spans="17:19" x14ac:dyDescent="0.2">
      <c r="Q1324" s="3"/>
      <c r="S1324" s="3"/>
    </row>
    <row r="1325" spans="17:19" x14ac:dyDescent="0.2">
      <c r="Q1325" s="3"/>
      <c r="S1325" s="3"/>
    </row>
    <row r="1326" spans="17:19" x14ac:dyDescent="0.2">
      <c r="Q1326" s="3"/>
      <c r="S1326" s="3"/>
    </row>
    <row r="1327" spans="17:19" x14ac:dyDescent="0.2">
      <c r="Q1327" s="3"/>
      <c r="S1327" s="3"/>
    </row>
    <row r="1328" spans="17:19" x14ac:dyDescent="0.2">
      <c r="Q1328" s="3"/>
      <c r="S1328" s="3"/>
    </row>
    <row r="1329" spans="17:19" x14ac:dyDescent="0.2">
      <c r="Q1329" s="3"/>
      <c r="S1329" s="3"/>
    </row>
    <row r="1330" spans="17:19" x14ac:dyDescent="0.2">
      <c r="Q1330" s="3"/>
      <c r="S1330" s="3"/>
    </row>
    <row r="1331" spans="17:19" x14ac:dyDescent="0.2">
      <c r="Q1331" s="3"/>
      <c r="S1331" s="3"/>
    </row>
    <row r="1332" spans="17:19" x14ac:dyDescent="0.2">
      <c r="Q1332" s="3"/>
      <c r="S1332" s="3"/>
    </row>
    <row r="1333" spans="17:19" x14ac:dyDescent="0.2">
      <c r="Q1333" s="3"/>
      <c r="S1333" s="3"/>
    </row>
    <row r="1334" spans="17:19" x14ac:dyDescent="0.2">
      <c r="Q1334" s="3"/>
      <c r="S1334" s="3"/>
    </row>
    <row r="1335" spans="17:19" x14ac:dyDescent="0.2">
      <c r="Q1335" s="3"/>
      <c r="S1335" s="3"/>
    </row>
    <row r="1336" spans="17:19" x14ac:dyDescent="0.2">
      <c r="Q1336" s="3"/>
      <c r="S1336" s="3"/>
    </row>
    <row r="1337" spans="17:19" x14ac:dyDescent="0.2">
      <c r="Q1337" s="3"/>
      <c r="S1337" s="3"/>
    </row>
    <row r="1338" spans="17:19" x14ac:dyDescent="0.2">
      <c r="Q1338" s="3"/>
      <c r="S1338" s="3"/>
    </row>
    <row r="1339" spans="17:19" x14ac:dyDescent="0.2">
      <c r="Q1339" s="3"/>
      <c r="S1339" s="3"/>
    </row>
    <row r="1340" spans="17:19" x14ac:dyDescent="0.2">
      <c r="Q1340" s="3"/>
      <c r="S1340" s="3"/>
    </row>
    <row r="1341" spans="17:19" x14ac:dyDescent="0.2">
      <c r="Q1341" s="3"/>
      <c r="S1341" s="3"/>
    </row>
    <row r="1342" spans="17:19" x14ac:dyDescent="0.2">
      <c r="Q1342" s="3"/>
      <c r="S1342" s="3"/>
    </row>
    <row r="1343" spans="17:19" x14ac:dyDescent="0.2">
      <c r="Q1343" s="3"/>
      <c r="S1343" s="3"/>
    </row>
    <row r="1344" spans="17:19" x14ac:dyDescent="0.2">
      <c r="Q1344" s="3"/>
      <c r="S1344" s="3"/>
    </row>
    <row r="1345" spans="17:19" x14ac:dyDescent="0.2">
      <c r="Q1345" s="3"/>
      <c r="S1345" s="3"/>
    </row>
    <row r="1346" spans="17:19" x14ac:dyDescent="0.2">
      <c r="Q1346" s="3"/>
      <c r="S1346" s="3"/>
    </row>
    <row r="1347" spans="17:19" x14ac:dyDescent="0.2">
      <c r="Q1347" s="3"/>
      <c r="S1347" s="3"/>
    </row>
    <row r="1348" spans="17:19" x14ac:dyDescent="0.2">
      <c r="Q1348" s="3"/>
      <c r="S1348" s="3"/>
    </row>
    <row r="1349" spans="17:19" x14ac:dyDescent="0.2">
      <c r="Q1349" s="3"/>
      <c r="S1349" s="3"/>
    </row>
    <row r="1350" spans="17:19" x14ac:dyDescent="0.2">
      <c r="Q1350" s="3"/>
      <c r="S1350" s="3"/>
    </row>
    <row r="1351" spans="17:19" x14ac:dyDescent="0.2">
      <c r="Q1351" s="3"/>
      <c r="S1351" s="3"/>
    </row>
    <row r="1352" spans="17:19" x14ac:dyDescent="0.2">
      <c r="Q1352" s="3"/>
      <c r="S1352" s="3"/>
    </row>
    <row r="1353" spans="17:19" x14ac:dyDescent="0.2">
      <c r="Q1353" s="3"/>
      <c r="S1353" s="3"/>
    </row>
    <row r="1354" spans="17:19" x14ac:dyDescent="0.2">
      <c r="Q1354" s="3"/>
      <c r="S1354" s="3"/>
    </row>
    <row r="1355" spans="17:19" x14ac:dyDescent="0.2">
      <c r="Q1355" s="3"/>
      <c r="S1355" s="3"/>
    </row>
    <row r="1356" spans="17:19" x14ac:dyDescent="0.2">
      <c r="Q1356" s="3"/>
      <c r="S1356" s="3"/>
    </row>
    <row r="1357" spans="17:19" x14ac:dyDescent="0.2">
      <c r="Q1357" s="3"/>
      <c r="S1357" s="3"/>
    </row>
    <row r="1358" spans="17:19" x14ac:dyDescent="0.2">
      <c r="Q1358" s="3"/>
      <c r="S1358" s="3"/>
    </row>
    <row r="1359" spans="17:19" x14ac:dyDescent="0.2">
      <c r="Q1359" s="3"/>
      <c r="S1359" s="3"/>
    </row>
    <row r="1360" spans="17:19" x14ac:dyDescent="0.2">
      <c r="Q1360" s="3"/>
      <c r="S1360" s="3"/>
    </row>
    <row r="1361" spans="17:19" x14ac:dyDescent="0.2">
      <c r="Q1361" s="3"/>
      <c r="S1361" s="3"/>
    </row>
    <row r="1362" spans="17:19" x14ac:dyDescent="0.2">
      <c r="Q1362" s="3"/>
      <c r="S1362" s="3"/>
    </row>
    <row r="1363" spans="17:19" x14ac:dyDescent="0.2">
      <c r="Q1363" s="3"/>
      <c r="S1363" s="3"/>
    </row>
    <row r="1364" spans="17:19" x14ac:dyDescent="0.2">
      <c r="Q1364" s="3"/>
      <c r="S1364" s="3"/>
    </row>
    <row r="1365" spans="17:19" x14ac:dyDescent="0.2">
      <c r="Q1365" s="3"/>
      <c r="S1365" s="3"/>
    </row>
    <row r="1366" spans="17:19" x14ac:dyDescent="0.2">
      <c r="Q1366" s="3"/>
      <c r="S1366" s="3"/>
    </row>
    <row r="1367" spans="17:19" x14ac:dyDescent="0.2">
      <c r="Q1367" s="3"/>
      <c r="S1367" s="3"/>
    </row>
    <row r="1368" spans="17:19" x14ac:dyDescent="0.2">
      <c r="Q1368" s="3"/>
      <c r="S1368" s="3"/>
    </row>
    <row r="1369" spans="17:19" x14ac:dyDescent="0.2">
      <c r="Q1369" s="3"/>
      <c r="S1369" s="3"/>
    </row>
    <row r="1370" spans="17:19" x14ac:dyDescent="0.2">
      <c r="Q1370" s="3"/>
      <c r="S1370" s="3"/>
    </row>
    <row r="1371" spans="17:19" x14ac:dyDescent="0.2">
      <c r="Q1371" s="3"/>
      <c r="S1371" s="3"/>
    </row>
    <row r="1372" spans="17:19" x14ac:dyDescent="0.2">
      <c r="Q1372" s="3"/>
      <c r="S1372" s="3"/>
    </row>
    <row r="1373" spans="17:19" x14ac:dyDescent="0.2">
      <c r="Q1373" s="3"/>
      <c r="S1373" s="3"/>
    </row>
    <row r="1374" spans="17:19" x14ac:dyDescent="0.2">
      <c r="Q1374" s="3"/>
      <c r="S1374" s="3"/>
    </row>
    <row r="1375" spans="17:19" x14ac:dyDescent="0.2">
      <c r="Q1375" s="3"/>
      <c r="S1375" s="3"/>
    </row>
    <row r="1376" spans="17:19" x14ac:dyDescent="0.2">
      <c r="Q1376" s="3"/>
      <c r="S1376" s="3"/>
    </row>
    <row r="1377" spans="17:19" x14ac:dyDescent="0.2">
      <c r="Q1377" s="3"/>
      <c r="S1377" s="3"/>
    </row>
    <row r="1378" spans="17:19" x14ac:dyDescent="0.2">
      <c r="Q1378" s="3"/>
      <c r="S1378" s="3"/>
    </row>
    <row r="1379" spans="17:19" x14ac:dyDescent="0.2">
      <c r="Q1379" s="3"/>
      <c r="S1379" s="3"/>
    </row>
    <row r="1380" spans="17:19" x14ac:dyDescent="0.2">
      <c r="Q1380" s="3"/>
      <c r="S1380" s="3"/>
    </row>
    <row r="1381" spans="17:19" x14ac:dyDescent="0.2">
      <c r="Q1381" s="3"/>
      <c r="S1381" s="3"/>
    </row>
    <row r="1382" spans="17:19" x14ac:dyDescent="0.2">
      <c r="Q1382" s="3"/>
      <c r="S1382" s="3"/>
    </row>
    <row r="1383" spans="17:19" x14ac:dyDescent="0.2">
      <c r="Q1383" s="3"/>
      <c r="S1383" s="3"/>
    </row>
    <row r="1384" spans="17:19" x14ac:dyDescent="0.2">
      <c r="Q1384" s="3"/>
      <c r="S1384" s="3"/>
    </row>
    <row r="1385" spans="17:19" x14ac:dyDescent="0.2">
      <c r="Q1385" s="3"/>
      <c r="S1385" s="3"/>
    </row>
    <row r="1386" spans="17:19" x14ac:dyDescent="0.2">
      <c r="Q1386" s="3"/>
      <c r="S1386" s="3"/>
    </row>
    <row r="1387" spans="17:19" x14ac:dyDescent="0.2">
      <c r="Q1387" s="3"/>
      <c r="S1387" s="3"/>
    </row>
    <row r="1388" spans="17:19" x14ac:dyDescent="0.2">
      <c r="Q1388" s="3"/>
      <c r="S1388" s="3"/>
    </row>
    <row r="1389" spans="17:19" x14ac:dyDescent="0.2">
      <c r="Q1389" s="3"/>
      <c r="S1389" s="3"/>
    </row>
    <row r="1390" spans="17:19" x14ac:dyDescent="0.2">
      <c r="Q1390" s="3"/>
      <c r="S1390" s="3"/>
    </row>
    <row r="1391" spans="17:19" x14ac:dyDescent="0.2">
      <c r="Q1391" s="3"/>
      <c r="S1391" s="3"/>
    </row>
    <row r="1392" spans="17:19" x14ac:dyDescent="0.2">
      <c r="Q1392" s="3"/>
      <c r="S1392" s="3"/>
    </row>
    <row r="1393" spans="17:19" x14ac:dyDescent="0.2">
      <c r="Q1393" s="3"/>
      <c r="S1393" s="3"/>
    </row>
    <row r="1394" spans="17:19" x14ac:dyDescent="0.2">
      <c r="Q1394" s="3"/>
      <c r="S1394" s="3"/>
    </row>
    <row r="1395" spans="17:19" x14ac:dyDescent="0.2">
      <c r="Q1395" s="3"/>
      <c r="S1395" s="3"/>
    </row>
    <row r="1396" spans="17:19" x14ac:dyDescent="0.2">
      <c r="Q1396" s="3"/>
      <c r="S1396" s="3"/>
    </row>
    <row r="1397" spans="17:19" x14ac:dyDescent="0.2">
      <c r="Q1397" s="3"/>
      <c r="S1397" s="3"/>
    </row>
    <row r="1398" spans="17:19" x14ac:dyDescent="0.2">
      <c r="Q1398" s="3"/>
      <c r="S1398" s="3"/>
    </row>
    <row r="1399" spans="17:19" x14ac:dyDescent="0.2">
      <c r="Q1399" s="3"/>
      <c r="S1399" s="3"/>
    </row>
    <row r="1400" spans="17:19" x14ac:dyDescent="0.2">
      <c r="Q1400" s="3"/>
      <c r="S1400" s="3"/>
    </row>
    <row r="1401" spans="17:19" x14ac:dyDescent="0.2">
      <c r="Q1401" s="3"/>
      <c r="S1401" s="3"/>
    </row>
    <row r="1402" spans="17:19" x14ac:dyDescent="0.2">
      <c r="Q1402" s="3"/>
      <c r="S1402" s="3"/>
    </row>
    <row r="1403" spans="17:19" x14ac:dyDescent="0.2">
      <c r="Q1403" s="3"/>
      <c r="S1403" s="3"/>
    </row>
    <row r="1404" spans="17:19" x14ac:dyDescent="0.2">
      <c r="Q1404" s="3"/>
      <c r="S1404" s="3"/>
    </row>
    <row r="1405" spans="17:19" x14ac:dyDescent="0.2">
      <c r="Q1405" s="3"/>
      <c r="S1405" s="3"/>
    </row>
    <row r="1406" spans="17:19" x14ac:dyDescent="0.2">
      <c r="Q1406" s="3"/>
      <c r="S1406" s="3"/>
    </row>
    <row r="1407" spans="17:19" x14ac:dyDescent="0.2">
      <c r="Q1407" s="3"/>
      <c r="S1407" s="3"/>
    </row>
    <row r="1408" spans="17:19" x14ac:dyDescent="0.2">
      <c r="Q1408" s="3"/>
      <c r="S1408" s="3"/>
    </row>
    <row r="1409" spans="17:19" x14ac:dyDescent="0.2">
      <c r="Q1409" s="3"/>
      <c r="S1409" s="3"/>
    </row>
    <row r="1410" spans="17:19" x14ac:dyDescent="0.2">
      <c r="Q1410" s="3"/>
      <c r="S1410" s="3"/>
    </row>
    <row r="1411" spans="17:19" x14ac:dyDescent="0.2">
      <c r="Q1411" s="3"/>
      <c r="S1411" s="3"/>
    </row>
    <row r="1412" spans="17:19" x14ac:dyDescent="0.2">
      <c r="Q1412" s="3"/>
      <c r="S1412" s="3"/>
    </row>
    <row r="1413" spans="17:19" x14ac:dyDescent="0.2">
      <c r="Q1413" s="3"/>
      <c r="S1413" s="3"/>
    </row>
    <row r="1414" spans="17:19" x14ac:dyDescent="0.2">
      <c r="Q1414" s="3"/>
      <c r="S1414" s="3"/>
    </row>
    <row r="1415" spans="17:19" x14ac:dyDescent="0.2">
      <c r="Q1415" s="3"/>
      <c r="S1415" s="3"/>
    </row>
    <row r="1416" spans="17:19" x14ac:dyDescent="0.2">
      <c r="Q1416" s="3"/>
      <c r="S1416" s="3"/>
    </row>
    <row r="1417" spans="17:19" x14ac:dyDescent="0.2">
      <c r="Q1417" s="3"/>
      <c r="S1417" s="3"/>
    </row>
    <row r="1418" spans="17:19" x14ac:dyDescent="0.2">
      <c r="Q1418" s="3"/>
      <c r="S1418" s="3"/>
    </row>
    <row r="1419" spans="17:19" x14ac:dyDescent="0.2">
      <c r="Q1419" s="3"/>
      <c r="S1419" s="3"/>
    </row>
    <row r="1420" spans="17:19" x14ac:dyDescent="0.2">
      <c r="Q1420" s="3"/>
      <c r="S1420" s="3"/>
    </row>
    <row r="1421" spans="17:19" x14ac:dyDescent="0.2">
      <c r="Q1421" s="3"/>
      <c r="S1421" s="3"/>
    </row>
    <row r="1422" spans="17:19" x14ac:dyDescent="0.2">
      <c r="Q1422" s="3"/>
      <c r="S1422" s="3"/>
    </row>
    <row r="1423" spans="17:19" x14ac:dyDescent="0.2">
      <c r="Q1423" s="3"/>
      <c r="S1423" s="3"/>
    </row>
    <row r="1424" spans="17:19" x14ac:dyDescent="0.2">
      <c r="Q1424" s="3"/>
      <c r="S1424" s="3"/>
    </row>
    <row r="1425" spans="17:19" x14ac:dyDescent="0.2">
      <c r="Q1425" s="3"/>
      <c r="S1425" s="3"/>
    </row>
    <row r="1426" spans="17:19" x14ac:dyDescent="0.2">
      <c r="Q1426" s="3"/>
      <c r="S1426" s="3"/>
    </row>
    <row r="1427" spans="17:19" x14ac:dyDescent="0.2">
      <c r="Q1427" s="3"/>
      <c r="S1427" s="3"/>
    </row>
    <row r="1428" spans="17:19" x14ac:dyDescent="0.2">
      <c r="Q1428" s="3"/>
      <c r="S1428" s="3"/>
    </row>
    <row r="1429" spans="17:19" x14ac:dyDescent="0.2">
      <c r="Q1429" s="3"/>
      <c r="S1429" s="3"/>
    </row>
    <row r="1430" spans="17:19" x14ac:dyDescent="0.2">
      <c r="Q1430" s="3"/>
      <c r="S1430" s="3"/>
    </row>
    <row r="1431" spans="17:19" x14ac:dyDescent="0.2">
      <c r="Q1431" s="3"/>
      <c r="S1431" s="3"/>
    </row>
    <row r="1432" spans="17:19" x14ac:dyDescent="0.2">
      <c r="Q1432" s="3"/>
      <c r="S1432" s="3"/>
    </row>
    <row r="1433" spans="17:19" x14ac:dyDescent="0.2">
      <c r="Q1433" s="3"/>
      <c r="S1433" s="3"/>
    </row>
    <row r="1434" spans="17:19" x14ac:dyDescent="0.2">
      <c r="Q1434" s="3"/>
      <c r="S1434" s="3"/>
    </row>
    <row r="1435" spans="17:19" x14ac:dyDescent="0.2">
      <c r="Q1435" s="3"/>
      <c r="S1435" s="3"/>
    </row>
    <row r="1436" spans="17:19" x14ac:dyDescent="0.2">
      <c r="Q1436" s="3"/>
      <c r="S1436" s="3"/>
    </row>
    <row r="1437" spans="17:19" x14ac:dyDescent="0.2">
      <c r="Q1437" s="3"/>
      <c r="S1437" s="3"/>
    </row>
    <row r="1438" spans="17:19" x14ac:dyDescent="0.2">
      <c r="Q1438" s="3"/>
      <c r="S1438" s="3"/>
    </row>
    <row r="1439" spans="17:19" x14ac:dyDescent="0.2">
      <c r="Q1439" s="3"/>
      <c r="S1439" s="3"/>
    </row>
    <row r="1440" spans="17:19" x14ac:dyDescent="0.2">
      <c r="Q1440" s="3"/>
      <c r="S1440" s="3"/>
    </row>
    <row r="1441" spans="17:19" x14ac:dyDescent="0.2">
      <c r="Q1441" s="3"/>
      <c r="S1441" s="3"/>
    </row>
    <row r="1442" spans="17:19" x14ac:dyDescent="0.2">
      <c r="Q1442" s="3"/>
      <c r="S1442" s="3"/>
    </row>
    <row r="1443" spans="17:19" x14ac:dyDescent="0.2">
      <c r="Q1443" s="3"/>
      <c r="S1443" s="3"/>
    </row>
    <row r="1444" spans="17:19" x14ac:dyDescent="0.2">
      <c r="Q1444" s="3"/>
      <c r="S1444" s="3"/>
    </row>
    <row r="1445" spans="17:19" x14ac:dyDescent="0.2">
      <c r="Q1445" s="3"/>
      <c r="S1445" s="3"/>
    </row>
    <row r="1446" spans="17:19" x14ac:dyDescent="0.2">
      <c r="Q1446" s="3"/>
      <c r="S1446" s="3"/>
    </row>
    <row r="1447" spans="17:19" x14ac:dyDescent="0.2">
      <c r="Q1447" s="3"/>
      <c r="S1447" s="3"/>
    </row>
    <row r="1448" spans="17:19" x14ac:dyDescent="0.2">
      <c r="Q1448" s="3"/>
      <c r="S1448" s="3"/>
    </row>
    <row r="1449" spans="17:19" x14ac:dyDescent="0.2">
      <c r="Q1449" s="3"/>
      <c r="S1449" s="3"/>
    </row>
    <row r="1450" spans="17:19" x14ac:dyDescent="0.2">
      <c r="Q1450" s="3"/>
      <c r="S1450" s="3"/>
    </row>
    <row r="1451" spans="17:19" x14ac:dyDescent="0.2">
      <c r="Q1451" s="3"/>
      <c r="S1451" s="3"/>
    </row>
    <row r="1452" spans="17:19" x14ac:dyDescent="0.2">
      <c r="Q1452" s="3"/>
      <c r="S1452" s="3"/>
    </row>
    <row r="1453" spans="17:19" x14ac:dyDescent="0.2">
      <c r="Q1453" s="3"/>
      <c r="S1453" s="3"/>
    </row>
    <row r="1454" spans="17:19" x14ac:dyDescent="0.2">
      <c r="Q1454" s="3"/>
      <c r="S1454" s="3"/>
    </row>
    <row r="1455" spans="17:19" x14ac:dyDescent="0.2">
      <c r="Q1455" s="3"/>
      <c r="S1455" s="3"/>
    </row>
    <row r="1456" spans="17:19" x14ac:dyDescent="0.2">
      <c r="Q1456" s="3"/>
      <c r="S1456" s="3"/>
    </row>
    <row r="1457" spans="17:19" x14ac:dyDescent="0.2">
      <c r="Q1457" s="3"/>
      <c r="S1457" s="3"/>
    </row>
    <row r="1458" spans="17:19" x14ac:dyDescent="0.2">
      <c r="Q1458" s="3"/>
      <c r="S1458" s="3"/>
    </row>
    <row r="1459" spans="17:19" x14ac:dyDescent="0.2">
      <c r="Q1459" s="3"/>
      <c r="S1459" s="3"/>
    </row>
    <row r="1460" spans="17:19" x14ac:dyDescent="0.2">
      <c r="Q1460" s="3"/>
      <c r="S1460" s="3"/>
    </row>
    <row r="1461" spans="17:19" x14ac:dyDescent="0.2">
      <c r="Q1461" s="3"/>
      <c r="S1461" s="3"/>
    </row>
    <row r="1462" spans="17:19" x14ac:dyDescent="0.2">
      <c r="Q1462" s="3"/>
      <c r="S1462" s="3"/>
    </row>
    <row r="1463" spans="17:19" x14ac:dyDescent="0.2">
      <c r="Q1463" s="3"/>
      <c r="S1463" s="3"/>
    </row>
    <row r="1464" spans="17:19" x14ac:dyDescent="0.2">
      <c r="Q1464" s="3"/>
      <c r="S1464" s="3"/>
    </row>
    <row r="1465" spans="17:19" x14ac:dyDescent="0.2">
      <c r="Q1465" s="3"/>
      <c r="S1465" s="3"/>
    </row>
    <row r="1466" spans="17:19" x14ac:dyDescent="0.2">
      <c r="Q1466" s="3"/>
      <c r="S1466" s="3"/>
    </row>
    <row r="1467" spans="17:19" x14ac:dyDescent="0.2">
      <c r="Q1467" s="3"/>
      <c r="S1467" s="3"/>
    </row>
    <row r="1468" spans="17:19" x14ac:dyDescent="0.2">
      <c r="Q1468" s="3"/>
      <c r="S1468" s="3"/>
    </row>
    <row r="1469" spans="17:19" x14ac:dyDescent="0.2">
      <c r="Q1469" s="3"/>
      <c r="S1469" s="3"/>
    </row>
    <row r="1470" spans="17:19" x14ac:dyDescent="0.2">
      <c r="Q1470" s="3"/>
      <c r="S1470" s="3"/>
    </row>
    <row r="1471" spans="17:19" x14ac:dyDescent="0.2">
      <c r="Q1471" s="3"/>
      <c r="S1471" s="3"/>
    </row>
    <row r="1472" spans="17:19" x14ac:dyDescent="0.2">
      <c r="Q1472" s="3"/>
      <c r="S1472" s="3"/>
    </row>
    <row r="1473" spans="17:19" x14ac:dyDescent="0.2">
      <c r="Q1473" s="3"/>
      <c r="S1473" s="3"/>
    </row>
    <row r="1474" spans="17:19" x14ac:dyDescent="0.2">
      <c r="Q1474" s="3"/>
      <c r="S1474" s="3"/>
    </row>
    <row r="1475" spans="17:19" x14ac:dyDescent="0.2">
      <c r="Q1475" s="3"/>
      <c r="S1475" s="3"/>
    </row>
    <row r="1476" spans="17:19" x14ac:dyDescent="0.2">
      <c r="Q1476" s="3"/>
      <c r="S1476" s="3"/>
    </row>
    <row r="1477" spans="17:19" x14ac:dyDescent="0.2">
      <c r="Q1477" s="3"/>
      <c r="S1477" s="3"/>
    </row>
    <row r="1478" spans="17:19" x14ac:dyDescent="0.2">
      <c r="Q1478" s="3"/>
      <c r="S1478" s="3"/>
    </row>
    <row r="1479" spans="17:19" x14ac:dyDescent="0.2">
      <c r="Q1479" s="3"/>
      <c r="S1479" s="3"/>
    </row>
    <row r="1480" spans="17:19" x14ac:dyDescent="0.2">
      <c r="Q1480" s="3"/>
      <c r="S1480" s="3"/>
    </row>
    <row r="1481" spans="17:19" x14ac:dyDescent="0.2">
      <c r="Q1481" s="3"/>
      <c r="S1481" s="3"/>
    </row>
    <row r="1482" spans="17:19" x14ac:dyDescent="0.2">
      <c r="Q1482" s="3"/>
      <c r="S1482" s="3"/>
    </row>
    <row r="1483" spans="17:19" x14ac:dyDescent="0.2">
      <c r="Q1483" s="3"/>
      <c r="S1483" s="3"/>
    </row>
    <row r="1484" spans="17:19" x14ac:dyDescent="0.2">
      <c r="Q1484" s="3"/>
      <c r="S1484" s="3"/>
    </row>
    <row r="1485" spans="17:19" x14ac:dyDescent="0.2">
      <c r="Q1485" s="3"/>
      <c r="S1485" s="3"/>
    </row>
    <row r="1486" spans="17:19" x14ac:dyDescent="0.2">
      <c r="Q1486" s="3"/>
      <c r="S1486" s="3"/>
    </row>
    <row r="1487" spans="17:19" x14ac:dyDescent="0.2">
      <c r="Q1487" s="3"/>
      <c r="S1487" s="3"/>
    </row>
    <row r="1488" spans="17:19" x14ac:dyDescent="0.2">
      <c r="Q1488" s="3"/>
      <c r="S1488" s="3"/>
    </row>
    <row r="1489" spans="17:19" x14ac:dyDescent="0.2">
      <c r="Q1489" s="3"/>
      <c r="S1489" s="3"/>
    </row>
    <row r="1490" spans="17:19" x14ac:dyDescent="0.2">
      <c r="Q1490" s="3"/>
      <c r="S1490" s="3"/>
    </row>
    <row r="1491" spans="17:19" x14ac:dyDescent="0.2">
      <c r="Q1491" s="3"/>
      <c r="S1491" s="3"/>
    </row>
    <row r="1492" spans="17:19" x14ac:dyDescent="0.2">
      <c r="Q1492" s="3"/>
      <c r="S1492" s="3"/>
    </row>
    <row r="1493" spans="17:19" x14ac:dyDescent="0.2">
      <c r="Q1493" s="3"/>
      <c r="S1493" s="3"/>
    </row>
    <row r="1494" spans="17:19" x14ac:dyDescent="0.2">
      <c r="Q1494" s="3"/>
      <c r="S1494" s="3"/>
    </row>
    <row r="1495" spans="17:19" x14ac:dyDescent="0.2">
      <c r="Q1495" s="3"/>
      <c r="S1495" s="3"/>
    </row>
    <row r="1496" spans="17:19" x14ac:dyDescent="0.2">
      <c r="Q1496" s="3"/>
      <c r="S1496" s="3"/>
    </row>
    <row r="1497" spans="17:19" x14ac:dyDescent="0.2">
      <c r="Q1497" s="3"/>
      <c r="S1497" s="3"/>
    </row>
    <row r="1498" spans="17:19" x14ac:dyDescent="0.2">
      <c r="Q1498" s="3"/>
      <c r="S1498" s="3"/>
    </row>
    <row r="1499" spans="17:19" x14ac:dyDescent="0.2">
      <c r="Q1499" s="3"/>
      <c r="S1499" s="3"/>
    </row>
    <row r="1500" spans="17:19" x14ac:dyDescent="0.2">
      <c r="Q1500" s="3"/>
      <c r="S1500" s="3"/>
    </row>
    <row r="1501" spans="17:19" x14ac:dyDescent="0.2">
      <c r="Q1501" s="3"/>
      <c r="S1501" s="3"/>
    </row>
    <row r="1502" spans="17:19" x14ac:dyDescent="0.2">
      <c r="Q1502" s="3"/>
      <c r="S1502" s="3"/>
    </row>
    <row r="1503" spans="17:19" x14ac:dyDescent="0.2">
      <c r="Q1503" s="3"/>
      <c r="S1503" s="3"/>
    </row>
    <row r="1504" spans="17:19" x14ac:dyDescent="0.2">
      <c r="Q1504" s="3"/>
      <c r="S1504" s="3"/>
    </row>
    <row r="1505" spans="17:19" x14ac:dyDescent="0.2">
      <c r="Q1505" s="3"/>
      <c r="S1505" s="3"/>
    </row>
    <row r="1506" spans="17:19" x14ac:dyDescent="0.2">
      <c r="Q1506" s="3"/>
      <c r="S1506" s="3"/>
    </row>
    <row r="1507" spans="17:19" x14ac:dyDescent="0.2">
      <c r="Q1507" s="3"/>
      <c r="S1507" s="3"/>
    </row>
    <row r="1508" spans="17:19" x14ac:dyDescent="0.2">
      <c r="Q1508" s="3"/>
      <c r="S1508" s="3"/>
    </row>
    <row r="1509" spans="17:19" x14ac:dyDescent="0.2">
      <c r="Q1509" s="3"/>
      <c r="S1509" s="3"/>
    </row>
    <row r="1510" spans="17:19" x14ac:dyDescent="0.2">
      <c r="Q1510" s="3"/>
      <c r="S1510" s="3"/>
    </row>
    <row r="1511" spans="17:19" x14ac:dyDescent="0.2">
      <c r="Q1511" s="3"/>
      <c r="S1511" s="3"/>
    </row>
    <row r="1512" spans="17:19" x14ac:dyDescent="0.2">
      <c r="Q1512" s="3"/>
      <c r="S1512" s="3"/>
    </row>
    <row r="1513" spans="17:19" x14ac:dyDescent="0.2">
      <c r="Q1513" s="3"/>
      <c r="S1513" s="3"/>
    </row>
    <row r="1514" spans="17:19" x14ac:dyDescent="0.2">
      <c r="Q1514" s="3"/>
      <c r="S1514" s="3"/>
    </row>
    <row r="1515" spans="17:19" x14ac:dyDescent="0.2">
      <c r="Q1515" s="3"/>
      <c r="S1515" s="3"/>
    </row>
    <row r="1516" spans="17:19" x14ac:dyDescent="0.2">
      <c r="Q1516" s="3"/>
      <c r="S1516" s="3"/>
    </row>
    <row r="1517" spans="17:19" x14ac:dyDescent="0.2">
      <c r="Q1517" s="3"/>
      <c r="S1517" s="3"/>
    </row>
    <row r="1518" spans="17:19" x14ac:dyDescent="0.2">
      <c r="Q1518" s="3"/>
      <c r="S1518" s="3"/>
    </row>
    <row r="1519" spans="17:19" x14ac:dyDescent="0.2">
      <c r="Q1519" s="3"/>
      <c r="S1519" s="3"/>
    </row>
    <row r="1520" spans="17:19" x14ac:dyDescent="0.2">
      <c r="Q1520" s="3"/>
      <c r="S1520" s="3"/>
    </row>
    <row r="1521" spans="17:19" x14ac:dyDescent="0.2">
      <c r="Q1521" s="3"/>
      <c r="S1521" s="3"/>
    </row>
    <row r="1522" spans="17:19" x14ac:dyDescent="0.2">
      <c r="Q1522" s="3"/>
      <c r="S1522" s="3"/>
    </row>
    <row r="1523" spans="17:19" x14ac:dyDescent="0.2">
      <c r="Q1523" s="3"/>
      <c r="S1523" s="3"/>
    </row>
    <row r="1524" spans="17:19" x14ac:dyDescent="0.2">
      <c r="Q1524" s="3"/>
      <c r="S1524" s="3"/>
    </row>
    <row r="1525" spans="17:19" x14ac:dyDescent="0.2">
      <c r="Q1525" s="3"/>
      <c r="S1525" s="3"/>
    </row>
    <row r="1526" spans="17:19" x14ac:dyDescent="0.2">
      <c r="Q1526" s="3"/>
      <c r="S1526" s="3"/>
    </row>
    <row r="1527" spans="17:19" x14ac:dyDescent="0.2">
      <c r="Q1527" s="3"/>
      <c r="S1527" s="3"/>
    </row>
    <row r="1528" spans="17:19" x14ac:dyDescent="0.2">
      <c r="Q1528" s="3"/>
      <c r="S1528" s="3"/>
    </row>
    <row r="1529" spans="17:19" x14ac:dyDescent="0.2">
      <c r="Q1529" s="3"/>
      <c r="S1529" s="3"/>
    </row>
    <row r="1530" spans="17:19" x14ac:dyDescent="0.2">
      <c r="Q1530" s="3"/>
      <c r="S1530" s="3"/>
    </row>
    <row r="1531" spans="17:19" x14ac:dyDescent="0.2">
      <c r="Q1531" s="3"/>
      <c r="S1531" s="3"/>
    </row>
    <row r="1532" spans="17:19" x14ac:dyDescent="0.2">
      <c r="Q1532" s="3"/>
      <c r="S1532" s="3"/>
    </row>
    <row r="1533" spans="17:19" x14ac:dyDescent="0.2">
      <c r="Q1533" s="3"/>
      <c r="S1533" s="3"/>
    </row>
    <row r="1534" spans="17:19" x14ac:dyDescent="0.2">
      <c r="Q1534" s="3"/>
      <c r="S1534" s="3"/>
    </row>
    <row r="1535" spans="17:19" x14ac:dyDescent="0.2">
      <c r="Q1535" s="3"/>
      <c r="S1535" s="3"/>
    </row>
    <row r="1536" spans="17:19" x14ac:dyDescent="0.2">
      <c r="Q1536" s="3"/>
      <c r="S1536" s="3"/>
    </row>
    <row r="1537" spans="17:19" x14ac:dyDescent="0.2">
      <c r="Q1537" s="3"/>
      <c r="S1537" s="3"/>
    </row>
    <row r="1538" spans="17:19" x14ac:dyDescent="0.2">
      <c r="Q1538" s="3"/>
      <c r="S1538" s="3"/>
    </row>
    <row r="1539" spans="17:19" x14ac:dyDescent="0.2">
      <c r="Q1539" s="3"/>
      <c r="S1539" s="3"/>
    </row>
    <row r="1540" spans="17:19" x14ac:dyDescent="0.2">
      <c r="Q1540" s="3"/>
      <c r="S1540" s="3"/>
    </row>
    <row r="1541" spans="17:19" x14ac:dyDescent="0.2">
      <c r="Q1541" s="3"/>
      <c r="S1541" s="3"/>
    </row>
    <row r="1542" spans="17:19" x14ac:dyDescent="0.2">
      <c r="Q1542" s="3"/>
      <c r="S1542" s="3"/>
    </row>
    <row r="1543" spans="17:19" x14ac:dyDescent="0.2">
      <c r="Q1543" s="3"/>
      <c r="S1543" s="3"/>
    </row>
    <row r="1544" spans="17:19" x14ac:dyDescent="0.2">
      <c r="Q1544" s="3"/>
      <c r="S1544" s="3"/>
    </row>
    <row r="1545" spans="17:19" x14ac:dyDescent="0.2">
      <c r="Q1545" s="3"/>
      <c r="S1545" s="3"/>
    </row>
    <row r="1546" spans="17:19" x14ac:dyDescent="0.2">
      <c r="Q1546" s="3"/>
      <c r="S1546" s="3"/>
    </row>
    <row r="1547" spans="17:19" x14ac:dyDescent="0.2">
      <c r="Q1547" s="3"/>
      <c r="S1547" s="3"/>
    </row>
    <row r="1548" spans="17:19" x14ac:dyDescent="0.2">
      <c r="Q1548" s="3"/>
      <c r="S1548" s="3"/>
    </row>
    <row r="1549" spans="17:19" x14ac:dyDescent="0.2">
      <c r="Q1549" s="3"/>
      <c r="S1549" s="3"/>
    </row>
    <row r="1550" spans="17:19" x14ac:dyDescent="0.2">
      <c r="Q1550" s="3"/>
      <c r="S1550" s="3"/>
    </row>
    <row r="1551" spans="17:19" x14ac:dyDescent="0.2">
      <c r="Q1551" s="3"/>
      <c r="S1551" s="3"/>
    </row>
    <row r="1552" spans="17:19" x14ac:dyDescent="0.2">
      <c r="Q1552" s="3"/>
      <c r="S1552" s="3"/>
    </row>
    <row r="1553" spans="17:19" x14ac:dyDescent="0.2">
      <c r="Q1553" s="3"/>
      <c r="S1553" s="3"/>
    </row>
    <row r="1554" spans="17:19" x14ac:dyDescent="0.2">
      <c r="Q1554" s="3"/>
      <c r="S1554" s="3"/>
    </row>
    <row r="1555" spans="17:19" x14ac:dyDescent="0.2">
      <c r="Q1555" s="3"/>
      <c r="S1555" s="3"/>
    </row>
    <row r="1556" spans="17:19" x14ac:dyDescent="0.2">
      <c r="Q1556" s="3"/>
      <c r="S1556" s="3"/>
    </row>
    <row r="1557" spans="17:19" x14ac:dyDescent="0.2">
      <c r="Q1557" s="3"/>
      <c r="S1557" s="3"/>
    </row>
    <row r="1558" spans="17:19" x14ac:dyDescent="0.2">
      <c r="Q1558" s="3"/>
      <c r="S1558" s="3"/>
    </row>
    <row r="1559" spans="17:19" x14ac:dyDescent="0.2">
      <c r="Q1559" s="3"/>
      <c r="S1559" s="3"/>
    </row>
    <row r="1560" spans="17:19" x14ac:dyDescent="0.2">
      <c r="Q1560" s="3"/>
      <c r="S1560" s="3"/>
    </row>
    <row r="1561" spans="17:19" x14ac:dyDescent="0.2">
      <c r="Q1561" s="3"/>
      <c r="S1561" s="3"/>
    </row>
    <row r="1562" spans="17:19" x14ac:dyDescent="0.2">
      <c r="Q1562" s="3"/>
      <c r="S1562" s="3"/>
    </row>
    <row r="1563" spans="17:19" x14ac:dyDescent="0.2">
      <c r="Q1563" s="3"/>
      <c r="S1563" s="3"/>
    </row>
    <row r="1564" spans="17:19" x14ac:dyDescent="0.2">
      <c r="Q1564" s="3"/>
      <c r="S1564" s="3"/>
    </row>
    <row r="1565" spans="17:19" x14ac:dyDescent="0.2">
      <c r="Q1565" s="3"/>
      <c r="S1565" s="3"/>
    </row>
    <row r="1566" spans="17:19" x14ac:dyDescent="0.2">
      <c r="Q1566" s="3"/>
      <c r="S1566" s="3"/>
    </row>
    <row r="1567" spans="17:19" x14ac:dyDescent="0.2">
      <c r="Q1567" s="3"/>
      <c r="S1567" s="3"/>
    </row>
    <row r="1568" spans="17:19" x14ac:dyDescent="0.2">
      <c r="Q1568" s="3"/>
      <c r="S1568" s="3"/>
    </row>
    <row r="1569" spans="17:19" x14ac:dyDescent="0.2">
      <c r="Q1569" s="3"/>
      <c r="S1569" s="3"/>
    </row>
    <row r="1570" spans="17:19" x14ac:dyDescent="0.2">
      <c r="Q1570" s="3"/>
      <c r="S1570" s="3"/>
    </row>
    <row r="1571" spans="17:19" x14ac:dyDescent="0.2">
      <c r="Q1571" s="3"/>
      <c r="S1571" s="3"/>
    </row>
    <row r="1572" spans="17:19" x14ac:dyDescent="0.2">
      <c r="Q1572" s="3"/>
      <c r="S1572" s="3"/>
    </row>
    <row r="1573" spans="17:19" x14ac:dyDescent="0.2">
      <c r="Q1573" s="3"/>
      <c r="S1573" s="3"/>
    </row>
    <row r="1574" spans="17:19" x14ac:dyDescent="0.2">
      <c r="Q1574" s="3"/>
      <c r="S1574" s="3"/>
    </row>
    <row r="1575" spans="17:19" x14ac:dyDescent="0.2">
      <c r="Q1575" s="3"/>
      <c r="S1575" s="3"/>
    </row>
    <row r="1576" spans="17:19" x14ac:dyDescent="0.2">
      <c r="Q1576" s="3"/>
      <c r="S1576" s="3"/>
    </row>
    <row r="1577" spans="17:19" x14ac:dyDescent="0.2">
      <c r="Q1577" s="3"/>
      <c r="S1577" s="3"/>
    </row>
    <row r="1578" spans="17:19" x14ac:dyDescent="0.2">
      <c r="Q1578" s="3"/>
      <c r="S1578" s="3"/>
    </row>
    <row r="1579" spans="17:19" x14ac:dyDescent="0.2">
      <c r="Q1579" s="3"/>
      <c r="S1579" s="3"/>
    </row>
    <row r="1580" spans="17:19" x14ac:dyDescent="0.2">
      <c r="Q1580" s="3"/>
      <c r="S1580" s="3"/>
    </row>
    <row r="1581" spans="17:19" x14ac:dyDescent="0.2">
      <c r="Q1581" s="3"/>
      <c r="S1581" s="3"/>
    </row>
    <row r="1582" spans="17:19" x14ac:dyDescent="0.2">
      <c r="Q1582" s="3"/>
      <c r="S1582" s="3"/>
    </row>
    <row r="1583" spans="17:19" x14ac:dyDescent="0.2">
      <c r="Q1583" s="3"/>
      <c r="S1583" s="3"/>
    </row>
    <row r="1584" spans="17:19" x14ac:dyDescent="0.2">
      <c r="Q1584" s="3"/>
      <c r="S1584" s="3"/>
    </row>
    <row r="1585" spans="17:19" x14ac:dyDescent="0.2">
      <c r="Q1585" s="3"/>
      <c r="S1585" s="3"/>
    </row>
    <row r="1586" spans="17:19" x14ac:dyDescent="0.2">
      <c r="Q1586" s="3"/>
      <c r="S1586" s="3"/>
    </row>
    <row r="1587" spans="17:19" x14ac:dyDescent="0.2">
      <c r="Q1587" s="3"/>
      <c r="S1587" s="3"/>
    </row>
    <row r="1588" spans="17:19" x14ac:dyDescent="0.2">
      <c r="Q1588" s="3"/>
      <c r="S1588" s="3"/>
    </row>
    <row r="1589" spans="17:19" x14ac:dyDescent="0.2">
      <c r="Q1589" s="3"/>
      <c r="S1589" s="3"/>
    </row>
    <row r="1590" spans="17:19" x14ac:dyDescent="0.2">
      <c r="Q1590" s="3"/>
      <c r="S1590" s="3"/>
    </row>
    <row r="1591" spans="17:19" x14ac:dyDescent="0.2">
      <c r="Q1591" s="3"/>
      <c r="S1591" s="3"/>
    </row>
    <row r="1592" spans="17:19" x14ac:dyDescent="0.2">
      <c r="Q1592" s="3"/>
      <c r="S1592" s="3"/>
    </row>
    <row r="1593" spans="17:19" x14ac:dyDescent="0.2">
      <c r="Q1593" s="3"/>
      <c r="S1593" s="3"/>
    </row>
    <row r="1594" spans="17:19" x14ac:dyDescent="0.2">
      <c r="Q1594" s="3"/>
      <c r="S1594" s="3"/>
    </row>
    <row r="1595" spans="17:19" x14ac:dyDescent="0.2">
      <c r="Q1595" s="3"/>
      <c r="S1595" s="3"/>
    </row>
    <row r="1596" spans="17:19" x14ac:dyDescent="0.2">
      <c r="Q1596" s="3"/>
      <c r="S1596" s="3"/>
    </row>
    <row r="1597" spans="17:19" x14ac:dyDescent="0.2">
      <c r="Q1597" s="3"/>
      <c r="S1597" s="3"/>
    </row>
    <row r="1598" spans="17:19" x14ac:dyDescent="0.2">
      <c r="Q1598" s="3"/>
      <c r="S1598" s="3"/>
    </row>
    <row r="1599" spans="17:19" x14ac:dyDescent="0.2">
      <c r="Q1599" s="3"/>
      <c r="S1599" s="3"/>
    </row>
    <row r="1600" spans="17:19" x14ac:dyDescent="0.2">
      <c r="Q1600" s="3"/>
      <c r="S1600" s="3"/>
    </row>
    <row r="1601" spans="17:19" x14ac:dyDescent="0.2">
      <c r="Q1601" s="3"/>
      <c r="S1601" s="3"/>
    </row>
    <row r="1602" spans="17:19" x14ac:dyDescent="0.2">
      <c r="Q1602" s="3"/>
      <c r="S1602" s="3"/>
    </row>
    <row r="1603" spans="17:19" x14ac:dyDescent="0.2">
      <c r="Q1603" s="3"/>
      <c r="S1603" s="3"/>
    </row>
    <row r="1604" spans="17:19" x14ac:dyDescent="0.2">
      <c r="Q1604" s="3"/>
      <c r="S1604" s="3"/>
    </row>
    <row r="1605" spans="17:19" x14ac:dyDescent="0.2">
      <c r="Q1605" s="3"/>
      <c r="S1605" s="3"/>
    </row>
    <row r="1606" spans="17:19" x14ac:dyDescent="0.2">
      <c r="Q1606" s="3"/>
      <c r="S1606" s="3"/>
    </row>
    <row r="1607" spans="17:19" x14ac:dyDescent="0.2">
      <c r="Q1607" s="3"/>
      <c r="S1607" s="3"/>
    </row>
    <row r="1608" spans="17:19" x14ac:dyDescent="0.2">
      <c r="Q1608" s="3"/>
      <c r="S1608" s="3"/>
    </row>
    <row r="1609" spans="17:19" x14ac:dyDescent="0.2">
      <c r="Q1609" s="3"/>
      <c r="S1609" s="3"/>
    </row>
    <row r="1610" spans="17:19" x14ac:dyDescent="0.2">
      <c r="Q1610" s="3"/>
      <c r="S1610" s="3"/>
    </row>
    <row r="1611" spans="17:19" x14ac:dyDescent="0.2">
      <c r="Q1611" s="3"/>
      <c r="S1611" s="3"/>
    </row>
    <row r="1612" spans="17:19" x14ac:dyDescent="0.2">
      <c r="Q1612" s="3"/>
      <c r="S1612" s="3"/>
    </row>
    <row r="1613" spans="17:19" x14ac:dyDescent="0.2">
      <c r="Q1613" s="3"/>
      <c r="S1613" s="3"/>
    </row>
    <row r="1614" spans="17:19" x14ac:dyDescent="0.2">
      <c r="Q1614" s="3"/>
      <c r="S1614" s="3"/>
    </row>
    <row r="1615" spans="17:19" x14ac:dyDescent="0.2">
      <c r="Q1615" s="3"/>
      <c r="S1615" s="3"/>
    </row>
    <row r="1616" spans="17:19" x14ac:dyDescent="0.2">
      <c r="Q1616" s="3"/>
      <c r="S1616" s="3"/>
    </row>
    <row r="1617" spans="17:19" x14ac:dyDescent="0.2">
      <c r="Q1617" s="3"/>
      <c r="S1617" s="3"/>
    </row>
    <row r="1618" spans="17:19" x14ac:dyDescent="0.2">
      <c r="Q1618" s="3"/>
      <c r="S1618" s="3"/>
    </row>
    <row r="1619" spans="17:19" x14ac:dyDescent="0.2">
      <c r="Q1619" s="3"/>
      <c r="S1619" s="3"/>
    </row>
    <row r="1620" spans="17:19" x14ac:dyDescent="0.2">
      <c r="Q1620" s="3"/>
      <c r="S1620" s="3"/>
    </row>
    <row r="1621" spans="17:19" x14ac:dyDescent="0.2">
      <c r="Q1621" s="3"/>
      <c r="S1621" s="3"/>
    </row>
    <row r="1622" spans="17:19" x14ac:dyDescent="0.2">
      <c r="Q1622" s="3"/>
      <c r="S1622" s="3"/>
    </row>
    <row r="1623" spans="17:19" x14ac:dyDescent="0.2">
      <c r="Q1623" s="3"/>
      <c r="S1623" s="3"/>
    </row>
    <row r="1624" spans="17:19" x14ac:dyDescent="0.2">
      <c r="Q1624" s="3"/>
      <c r="S1624" s="3"/>
    </row>
    <row r="1625" spans="17:19" x14ac:dyDescent="0.2">
      <c r="Q1625" s="3"/>
      <c r="S1625" s="3"/>
    </row>
    <row r="1626" spans="17:19" x14ac:dyDescent="0.2">
      <c r="Q1626" s="3"/>
      <c r="S1626" s="3"/>
    </row>
    <row r="1627" spans="17:19" x14ac:dyDescent="0.2">
      <c r="Q1627" s="3"/>
      <c r="S1627" s="3"/>
    </row>
    <row r="1628" spans="17:19" x14ac:dyDescent="0.2">
      <c r="Q1628" s="3"/>
      <c r="S1628" s="3"/>
    </row>
    <row r="1629" spans="17:19" x14ac:dyDescent="0.2">
      <c r="Q1629" s="3"/>
      <c r="S1629" s="3"/>
    </row>
    <row r="1630" spans="17:19" x14ac:dyDescent="0.2">
      <c r="Q1630" s="3"/>
      <c r="S1630" s="3"/>
    </row>
    <row r="1631" spans="17:19" x14ac:dyDescent="0.2">
      <c r="Q1631" s="3"/>
      <c r="S1631" s="3"/>
    </row>
    <row r="1632" spans="17:19" x14ac:dyDescent="0.2">
      <c r="Q1632" s="3"/>
      <c r="S1632" s="3"/>
    </row>
    <row r="1633" spans="17:19" x14ac:dyDescent="0.2">
      <c r="Q1633" s="3"/>
      <c r="S1633" s="3"/>
    </row>
    <row r="1634" spans="17:19" x14ac:dyDescent="0.2">
      <c r="Q1634" s="3"/>
      <c r="S1634" s="3"/>
    </row>
    <row r="1635" spans="17:19" x14ac:dyDescent="0.2">
      <c r="Q1635" s="3"/>
      <c r="S1635" s="3"/>
    </row>
    <row r="1636" spans="17:19" x14ac:dyDescent="0.2">
      <c r="Q1636" s="3"/>
      <c r="S1636" s="3"/>
    </row>
    <row r="1637" spans="17:19" x14ac:dyDescent="0.2">
      <c r="Q1637" s="3"/>
      <c r="S1637" s="3"/>
    </row>
    <row r="1638" spans="17:19" x14ac:dyDescent="0.2">
      <c r="Q1638" s="3"/>
      <c r="S1638" s="3"/>
    </row>
    <row r="1639" spans="17:19" x14ac:dyDescent="0.2">
      <c r="Q1639" s="3"/>
      <c r="S1639" s="3"/>
    </row>
    <row r="1640" spans="17:19" x14ac:dyDescent="0.2">
      <c r="Q1640" s="3"/>
      <c r="S1640" s="3"/>
    </row>
    <row r="1641" spans="17:19" x14ac:dyDescent="0.2">
      <c r="Q1641" s="3"/>
      <c r="S1641" s="3"/>
    </row>
    <row r="1642" spans="17:19" x14ac:dyDescent="0.2">
      <c r="Q1642" s="3"/>
      <c r="S1642" s="3"/>
    </row>
    <row r="1643" spans="17:19" x14ac:dyDescent="0.2">
      <c r="Q1643" s="3"/>
      <c r="S1643" s="3"/>
    </row>
    <row r="1644" spans="17:19" x14ac:dyDescent="0.2">
      <c r="Q1644" s="3"/>
      <c r="S1644" s="3"/>
    </row>
    <row r="1645" spans="17:19" x14ac:dyDescent="0.2">
      <c r="Q1645" s="3"/>
      <c r="S1645" s="3"/>
    </row>
    <row r="1646" spans="17:19" x14ac:dyDescent="0.2">
      <c r="Q1646" s="3"/>
      <c r="S1646" s="3"/>
    </row>
    <row r="1647" spans="17:19" x14ac:dyDescent="0.2">
      <c r="Q1647" s="3"/>
      <c r="S1647" s="3"/>
    </row>
    <row r="1648" spans="17:19" x14ac:dyDescent="0.2">
      <c r="Q1648" s="3"/>
      <c r="S1648" s="3"/>
    </row>
    <row r="1649" spans="17:19" x14ac:dyDescent="0.2">
      <c r="Q1649" s="3"/>
      <c r="S1649" s="3"/>
    </row>
    <row r="1650" spans="17:19" x14ac:dyDescent="0.2">
      <c r="Q1650" s="3"/>
      <c r="S1650" s="3"/>
    </row>
    <row r="1651" spans="17:19" x14ac:dyDescent="0.2">
      <c r="Q1651" s="3"/>
      <c r="S1651" s="3"/>
    </row>
    <row r="1652" spans="17:19" x14ac:dyDescent="0.2">
      <c r="Q1652" s="3"/>
      <c r="S1652" s="3"/>
    </row>
    <row r="1653" spans="17:19" x14ac:dyDescent="0.2">
      <c r="Q1653" s="3"/>
      <c r="S1653" s="3"/>
    </row>
    <row r="1654" spans="17:19" x14ac:dyDescent="0.2">
      <c r="Q1654" s="3"/>
      <c r="S1654" s="3"/>
    </row>
    <row r="1655" spans="17:19" x14ac:dyDescent="0.2">
      <c r="Q1655" s="3"/>
      <c r="S1655" s="3"/>
    </row>
    <row r="1656" spans="17:19" x14ac:dyDescent="0.2">
      <c r="Q1656" s="3"/>
      <c r="S1656" s="3"/>
    </row>
    <row r="1657" spans="17:19" x14ac:dyDescent="0.2">
      <c r="Q1657" s="3"/>
      <c r="S1657" s="3"/>
    </row>
    <row r="1658" spans="17:19" x14ac:dyDescent="0.2">
      <c r="Q1658" s="3"/>
      <c r="S1658" s="3"/>
    </row>
    <row r="1659" spans="17:19" x14ac:dyDescent="0.2">
      <c r="Q1659" s="3"/>
      <c r="S1659" s="3"/>
    </row>
    <row r="1660" spans="17:19" x14ac:dyDescent="0.2">
      <c r="Q1660" s="3"/>
      <c r="S1660" s="3"/>
    </row>
    <row r="1661" spans="17:19" x14ac:dyDescent="0.2">
      <c r="Q1661" s="3"/>
      <c r="S1661" s="3"/>
    </row>
    <row r="1662" spans="17:19" x14ac:dyDescent="0.2">
      <c r="Q1662" s="3"/>
      <c r="S1662" s="3"/>
    </row>
    <row r="1663" spans="17:19" x14ac:dyDescent="0.2">
      <c r="Q1663" s="3"/>
      <c r="S1663" s="3"/>
    </row>
    <row r="1664" spans="17:19" x14ac:dyDescent="0.2">
      <c r="Q1664" s="3"/>
      <c r="S1664" s="3"/>
    </row>
    <row r="1665" spans="17:19" x14ac:dyDescent="0.2">
      <c r="Q1665" s="3"/>
      <c r="S1665" s="3"/>
    </row>
    <row r="1666" spans="17:19" x14ac:dyDescent="0.2">
      <c r="Q1666" s="3"/>
      <c r="S1666" s="3"/>
    </row>
    <row r="1667" spans="17:19" x14ac:dyDescent="0.2">
      <c r="Q1667" s="3"/>
      <c r="S1667" s="3"/>
    </row>
    <row r="1668" spans="17:19" x14ac:dyDescent="0.2">
      <c r="Q1668" s="3"/>
      <c r="S1668" s="3"/>
    </row>
    <row r="1669" spans="17:19" x14ac:dyDescent="0.2">
      <c r="Q1669" s="3"/>
      <c r="S1669" s="3"/>
    </row>
    <row r="1670" spans="17:19" x14ac:dyDescent="0.2">
      <c r="Q1670" s="3"/>
      <c r="S1670" s="3"/>
    </row>
    <row r="1671" spans="17:19" x14ac:dyDescent="0.2">
      <c r="Q1671" s="3"/>
      <c r="S1671" s="3"/>
    </row>
    <row r="1672" spans="17:19" x14ac:dyDescent="0.2">
      <c r="Q1672" s="3"/>
      <c r="S1672" s="3"/>
    </row>
    <row r="1673" spans="17:19" x14ac:dyDescent="0.2">
      <c r="Q1673" s="3"/>
      <c r="S1673" s="3"/>
    </row>
    <row r="1674" spans="17:19" x14ac:dyDescent="0.2">
      <c r="Q1674" s="3"/>
      <c r="S1674" s="3"/>
    </row>
    <row r="1675" spans="17:19" x14ac:dyDescent="0.2">
      <c r="Q1675" s="3"/>
      <c r="S1675" s="3"/>
    </row>
    <row r="1676" spans="17:19" x14ac:dyDescent="0.2">
      <c r="Q1676" s="3"/>
      <c r="S1676" s="3"/>
    </row>
    <row r="1677" spans="17:19" x14ac:dyDescent="0.2">
      <c r="Q1677" s="3"/>
      <c r="S1677" s="3"/>
    </row>
    <row r="1678" spans="17:19" x14ac:dyDescent="0.2">
      <c r="Q1678" s="3"/>
      <c r="S1678" s="3"/>
    </row>
    <row r="1679" spans="17:19" x14ac:dyDescent="0.2">
      <c r="Q1679" s="3"/>
      <c r="S1679" s="3"/>
    </row>
    <row r="1680" spans="17:19" x14ac:dyDescent="0.2">
      <c r="Q1680" s="3"/>
      <c r="S1680" s="3"/>
    </row>
    <row r="1681" spans="17:19" x14ac:dyDescent="0.2">
      <c r="Q1681" s="3"/>
      <c r="S1681" s="3"/>
    </row>
    <row r="1682" spans="17:19" x14ac:dyDescent="0.2">
      <c r="Q1682" s="3"/>
      <c r="S1682" s="3"/>
    </row>
    <row r="1683" spans="17:19" x14ac:dyDescent="0.2">
      <c r="Q1683" s="3"/>
      <c r="S1683" s="3"/>
    </row>
    <row r="1684" spans="17:19" x14ac:dyDescent="0.2">
      <c r="Q1684" s="3"/>
      <c r="S1684" s="3"/>
    </row>
    <row r="1685" spans="17:19" x14ac:dyDescent="0.2">
      <c r="Q1685" s="3"/>
      <c r="S1685" s="3"/>
    </row>
    <row r="1686" spans="17:19" x14ac:dyDescent="0.2">
      <c r="Q1686" s="3"/>
      <c r="S1686" s="3"/>
    </row>
    <row r="1687" spans="17:19" x14ac:dyDescent="0.2">
      <c r="Q1687" s="3"/>
      <c r="S1687" s="3"/>
    </row>
    <row r="1688" spans="17:19" x14ac:dyDescent="0.2">
      <c r="Q1688" s="3"/>
      <c r="S1688" s="3"/>
    </row>
    <row r="1689" spans="17:19" x14ac:dyDescent="0.2">
      <c r="Q1689" s="3"/>
      <c r="S1689" s="3"/>
    </row>
    <row r="1690" spans="17:19" x14ac:dyDescent="0.2">
      <c r="Q1690" s="3"/>
      <c r="S1690" s="3"/>
    </row>
    <row r="1691" spans="17:19" x14ac:dyDescent="0.2">
      <c r="Q1691" s="3"/>
      <c r="S1691" s="3"/>
    </row>
    <row r="1692" spans="17:19" x14ac:dyDescent="0.2">
      <c r="Q1692" s="3"/>
      <c r="S1692" s="3"/>
    </row>
    <row r="1693" spans="17:19" x14ac:dyDescent="0.2">
      <c r="Q1693" s="3"/>
      <c r="S1693" s="3"/>
    </row>
    <row r="1694" spans="17:19" x14ac:dyDescent="0.2">
      <c r="Q1694" s="3"/>
      <c r="S1694" s="3"/>
    </row>
    <row r="1695" spans="17:19" x14ac:dyDescent="0.2">
      <c r="Q1695" s="3"/>
      <c r="S1695" s="3"/>
    </row>
    <row r="1696" spans="17:19" x14ac:dyDescent="0.2">
      <c r="Q1696" s="3"/>
      <c r="S1696" s="3"/>
    </row>
    <row r="1697" spans="17:19" x14ac:dyDescent="0.2">
      <c r="Q1697" s="3"/>
      <c r="S1697" s="3"/>
    </row>
    <row r="1698" spans="17:19" x14ac:dyDescent="0.2">
      <c r="Q1698" s="3"/>
      <c r="S1698" s="3"/>
    </row>
    <row r="1699" spans="17:19" x14ac:dyDescent="0.2">
      <c r="Q1699" s="3"/>
      <c r="S1699" s="3"/>
    </row>
    <row r="1700" spans="17:19" x14ac:dyDescent="0.2">
      <c r="Q1700" s="3"/>
      <c r="S1700" s="3"/>
    </row>
    <row r="1701" spans="17:19" x14ac:dyDescent="0.2">
      <c r="Q1701" s="3"/>
      <c r="S1701" s="3"/>
    </row>
    <row r="1702" spans="17:19" x14ac:dyDescent="0.2">
      <c r="Q1702" s="3"/>
      <c r="S1702" s="3"/>
    </row>
    <row r="1703" spans="17:19" x14ac:dyDescent="0.2">
      <c r="Q1703" s="3"/>
      <c r="S1703" s="3"/>
    </row>
    <row r="1704" spans="17:19" x14ac:dyDescent="0.2">
      <c r="Q1704" s="3"/>
      <c r="S1704" s="3"/>
    </row>
    <row r="1705" spans="17:19" x14ac:dyDescent="0.2">
      <c r="Q1705" s="3"/>
      <c r="S1705" s="3"/>
    </row>
    <row r="1706" spans="17:19" x14ac:dyDescent="0.2">
      <c r="Q1706" s="3"/>
      <c r="S1706" s="3"/>
    </row>
    <row r="1707" spans="17:19" x14ac:dyDescent="0.2">
      <c r="Q1707" s="3"/>
      <c r="S1707" s="3"/>
    </row>
    <row r="1708" spans="17:19" x14ac:dyDescent="0.2">
      <c r="Q1708" s="3"/>
      <c r="S1708" s="3"/>
    </row>
    <row r="1709" spans="17:19" x14ac:dyDescent="0.2">
      <c r="Q1709" s="3"/>
      <c r="S1709" s="3"/>
    </row>
    <row r="1710" spans="17:19" x14ac:dyDescent="0.2">
      <c r="Q1710" s="3"/>
      <c r="S1710" s="3"/>
    </row>
    <row r="1711" spans="17:19" x14ac:dyDescent="0.2">
      <c r="Q1711" s="3"/>
      <c r="S1711" s="3"/>
    </row>
    <row r="1712" spans="17:19" x14ac:dyDescent="0.2">
      <c r="Q1712" s="3"/>
      <c r="S1712" s="3"/>
    </row>
    <row r="1713" spans="17:19" x14ac:dyDescent="0.2">
      <c r="Q1713" s="3"/>
      <c r="S1713" s="3"/>
    </row>
    <row r="1714" spans="17:19" x14ac:dyDescent="0.2">
      <c r="Q1714" s="3"/>
      <c r="S1714" s="3"/>
    </row>
    <row r="1715" spans="17:19" x14ac:dyDescent="0.2">
      <c r="Q1715" s="3"/>
      <c r="S1715" s="3"/>
    </row>
    <row r="1716" spans="17:19" x14ac:dyDescent="0.2">
      <c r="Q1716" s="3"/>
      <c r="S1716" s="3"/>
    </row>
    <row r="1717" spans="17:19" x14ac:dyDescent="0.2">
      <c r="Q1717" s="3"/>
      <c r="S1717" s="3"/>
    </row>
    <row r="1718" spans="17:19" x14ac:dyDescent="0.2">
      <c r="Q1718" s="3"/>
      <c r="S1718" s="3"/>
    </row>
    <row r="1719" spans="17:19" x14ac:dyDescent="0.2">
      <c r="Q1719" s="3"/>
      <c r="S1719" s="3"/>
    </row>
    <row r="1720" spans="17:19" x14ac:dyDescent="0.2">
      <c r="Q1720" s="3"/>
      <c r="S1720" s="3"/>
    </row>
    <row r="1721" spans="17:19" x14ac:dyDescent="0.2">
      <c r="Q1721" s="3"/>
      <c r="S1721" s="3"/>
    </row>
    <row r="1722" spans="17:19" x14ac:dyDescent="0.2">
      <c r="Q1722" s="3"/>
      <c r="S1722" s="3"/>
    </row>
    <row r="1723" spans="17:19" x14ac:dyDescent="0.2">
      <c r="Q1723" s="3"/>
      <c r="S1723" s="3"/>
    </row>
    <row r="1724" spans="17:19" x14ac:dyDescent="0.2">
      <c r="Q1724" s="3"/>
      <c r="S1724" s="3"/>
    </row>
    <row r="1725" spans="17:19" x14ac:dyDescent="0.2">
      <c r="Q1725" s="3"/>
      <c r="S1725" s="3"/>
    </row>
    <row r="1726" spans="17:19" x14ac:dyDescent="0.2">
      <c r="Q1726" s="3"/>
      <c r="S1726" s="3"/>
    </row>
    <row r="1727" spans="17:19" x14ac:dyDescent="0.2">
      <c r="Q1727" s="3"/>
      <c r="S1727" s="3"/>
    </row>
    <row r="1728" spans="17:19" x14ac:dyDescent="0.2">
      <c r="Q1728" s="3"/>
      <c r="S1728" s="3"/>
    </row>
    <row r="1729" spans="17:19" x14ac:dyDescent="0.2">
      <c r="Q1729" s="3"/>
      <c r="S1729" s="3"/>
    </row>
    <row r="1730" spans="17:19" x14ac:dyDescent="0.2">
      <c r="Q1730" s="3"/>
      <c r="S1730" s="3"/>
    </row>
    <row r="1731" spans="17:19" x14ac:dyDescent="0.2">
      <c r="Q1731" s="3"/>
      <c r="S1731" s="3"/>
    </row>
    <row r="1732" spans="17:19" x14ac:dyDescent="0.2">
      <c r="Q1732" s="3"/>
      <c r="S1732" s="3"/>
    </row>
    <row r="1733" spans="17:19" x14ac:dyDescent="0.2">
      <c r="Q1733" s="3"/>
      <c r="S1733" s="3"/>
    </row>
    <row r="1734" spans="17:19" x14ac:dyDescent="0.2">
      <c r="Q1734" s="3"/>
      <c r="S1734" s="3"/>
    </row>
    <row r="1735" spans="17:19" x14ac:dyDescent="0.2">
      <c r="Q1735" s="3"/>
      <c r="S1735" s="3"/>
    </row>
    <row r="1736" spans="17:19" x14ac:dyDescent="0.2">
      <c r="Q1736" s="3"/>
      <c r="S1736" s="3"/>
    </row>
    <row r="1737" spans="17:19" x14ac:dyDescent="0.2">
      <c r="Q1737" s="3"/>
      <c r="S1737" s="3"/>
    </row>
    <row r="1738" spans="17:19" x14ac:dyDescent="0.2">
      <c r="Q1738" s="3"/>
      <c r="S1738" s="3"/>
    </row>
    <row r="1739" spans="17:19" x14ac:dyDescent="0.2">
      <c r="Q1739" s="3"/>
      <c r="S1739" s="3"/>
    </row>
    <row r="1740" spans="17:19" x14ac:dyDescent="0.2">
      <c r="Q1740" s="3"/>
      <c r="S1740" s="3"/>
    </row>
    <row r="1741" spans="17:19" x14ac:dyDescent="0.2">
      <c r="Q1741" s="3"/>
      <c r="S1741" s="3"/>
    </row>
    <row r="1742" spans="17:19" x14ac:dyDescent="0.2">
      <c r="Q1742" s="3"/>
      <c r="S1742" s="3"/>
    </row>
    <row r="1743" spans="17:19" x14ac:dyDescent="0.2">
      <c r="Q1743" s="3"/>
      <c r="S1743" s="3"/>
    </row>
    <row r="1744" spans="17:19" x14ac:dyDescent="0.2">
      <c r="Q1744" s="3"/>
      <c r="S1744" s="3"/>
    </row>
    <row r="1745" spans="17:19" x14ac:dyDescent="0.2">
      <c r="Q1745" s="3"/>
      <c r="S1745" s="3"/>
    </row>
    <row r="1746" spans="17:19" x14ac:dyDescent="0.2">
      <c r="Q1746" s="3"/>
      <c r="S1746" s="3"/>
    </row>
    <row r="1747" spans="17:19" x14ac:dyDescent="0.2">
      <c r="Q1747" s="3"/>
      <c r="S1747" s="3"/>
    </row>
    <row r="1748" spans="17:19" x14ac:dyDescent="0.2">
      <c r="Q1748" s="3"/>
      <c r="S1748" s="3"/>
    </row>
    <row r="1749" spans="17:19" x14ac:dyDescent="0.2">
      <c r="Q1749" s="3"/>
      <c r="S1749" s="3"/>
    </row>
    <row r="1750" spans="17:19" x14ac:dyDescent="0.2">
      <c r="Q1750" s="3"/>
      <c r="S1750" s="3"/>
    </row>
    <row r="1751" spans="17:19" x14ac:dyDescent="0.2">
      <c r="Q1751" s="3"/>
      <c r="S1751" s="3"/>
    </row>
    <row r="1752" spans="17:19" x14ac:dyDescent="0.2">
      <c r="Q1752" s="3"/>
      <c r="S1752" s="3"/>
    </row>
    <row r="1753" spans="17:19" x14ac:dyDescent="0.2">
      <c r="Q1753" s="3"/>
      <c r="S1753" s="3"/>
    </row>
    <row r="1754" spans="17:19" x14ac:dyDescent="0.2">
      <c r="Q1754" s="3"/>
      <c r="S1754" s="3"/>
    </row>
    <row r="1755" spans="17:19" x14ac:dyDescent="0.2">
      <c r="Q1755" s="3"/>
      <c r="S1755" s="3"/>
    </row>
    <row r="1756" spans="17:19" x14ac:dyDescent="0.2">
      <c r="Q1756" s="3"/>
      <c r="S1756" s="3"/>
    </row>
    <row r="1757" spans="17:19" x14ac:dyDescent="0.2">
      <c r="Q1757" s="3"/>
      <c r="S1757" s="3"/>
    </row>
    <row r="1758" spans="17:19" x14ac:dyDescent="0.2">
      <c r="Q1758" s="3"/>
      <c r="S1758" s="3"/>
    </row>
    <row r="1759" spans="17:19" x14ac:dyDescent="0.2">
      <c r="Q1759" s="3"/>
      <c r="S1759" s="3"/>
    </row>
    <row r="1760" spans="17:19" x14ac:dyDescent="0.2">
      <c r="Q1760" s="3"/>
      <c r="S1760" s="3"/>
    </row>
    <row r="1761" spans="17:19" x14ac:dyDescent="0.2">
      <c r="Q1761" s="3"/>
      <c r="S1761" s="3"/>
    </row>
    <row r="1762" spans="17:19" x14ac:dyDescent="0.2">
      <c r="Q1762" s="3"/>
      <c r="S1762" s="3"/>
    </row>
    <row r="1763" spans="17:19" x14ac:dyDescent="0.2">
      <c r="Q1763" s="3"/>
      <c r="S1763" s="3"/>
    </row>
    <row r="1764" spans="17:19" x14ac:dyDescent="0.2">
      <c r="Q1764" s="3"/>
      <c r="S1764" s="3"/>
    </row>
    <row r="1765" spans="17:19" x14ac:dyDescent="0.2">
      <c r="Q1765" s="3"/>
      <c r="S1765" s="3"/>
    </row>
    <row r="1766" spans="17:19" x14ac:dyDescent="0.2">
      <c r="Q1766" s="3"/>
      <c r="S1766" s="3"/>
    </row>
    <row r="1767" spans="17:19" x14ac:dyDescent="0.2">
      <c r="Q1767" s="3"/>
      <c r="S1767" s="3"/>
    </row>
    <row r="1768" spans="17:19" x14ac:dyDescent="0.2">
      <c r="Q1768" s="3"/>
      <c r="S1768" s="3"/>
    </row>
    <row r="1769" spans="17:19" x14ac:dyDescent="0.2">
      <c r="Q1769" s="3"/>
      <c r="S1769" s="3"/>
    </row>
    <row r="1770" spans="17:19" x14ac:dyDescent="0.2">
      <c r="Q1770" s="3"/>
      <c r="S1770" s="3"/>
    </row>
    <row r="1771" spans="17:19" x14ac:dyDescent="0.2">
      <c r="Q1771" s="3"/>
      <c r="S1771" s="3"/>
    </row>
    <row r="1772" spans="17:19" x14ac:dyDescent="0.2">
      <c r="Q1772" s="3"/>
      <c r="S1772" s="3"/>
    </row>
    <row r="1773" spans="17:19" x14ac:dyDescent="0.2">
      <c r="Q1773" s="3"/>
      <c r="S1773" s="3"/>
    </row>
    <row r="1774" spans="17:19" x14ac:dyDescent="0.2">
      <c r="Q1774" s="3"/>
      <c r="S1774" s="3"/>
    </row>
    <row r="1775" spans="17:19" x14ac:dyDescent="0.2">
      <c r="Q1775" s="3"/>
      <c r="S1775" s="3"/>
    </row>
    <row r="1776" spans="17:19" x14ac:dyDescent="0.2">
      <c r="Q1776" s="3"/>
      <c r="S1776" s="3"/>
    </row>
    <row r="1777" spans="17:19" x14ac:dyDescent="0.2">
      <c r="Q1777" s="3"/>
      <c r="S1777" s="3"/>
    </row>
    <row r="1778" spans="17:19" x14ac:dyDescent="0.2">
      <c r="Q1778" s="3"/>
      <c r="S1778" s="3"/>
    </row>
    <row r="1779" spans="17:19" x14ac:dyDescent="0.2">
      <c r="Q1779" s="3"/>
      <c r="S1779" s="3"/>
    </row>
    <row r="1780" spans="17:19" x14ac:dyDescent="0.2">
      <c r="Q1780" s="3"/>
      <c r="S1780" s="3"/>
    </row>
    <row r="1781" spans="17:19" x14ac:dyDescent="0.2">
      <c r="Q1781" s="3"/>
      <c r="S1781" s="3"/>
    </row>
    <row r="1782" spans="17:19" x14ac:dyDescent="0.2">
      <c r="Q1782" s="3"/>
      <c r="S1782" s="3"/>
    </row>
    <row r="1783" spans="17:19" x14ac:dyDescent="0.2">
      <c r="Q1783" s="3"/>
      <c r="S1783" s="3"/>
    </row>
    <row r="1784" spans="17:19" x14ac:dyDescent="0.2">
      <c r="Q1784" s="3"/>
      <c r="S1784" s="3"/>
    </row>
    <row r="1785" spans="17:19" x14ac:dyDescent="0.2">
      <c r="Q1785" s="3"/>
      <c r="S1785" s="3"/>
    </row>
    <row r="1786" spans="17:19" x14ac:dyDescent="0.2">
      <c r="Q1786" s="3"/>
      <c r="S1786" s="3"/>
    </row>
    <row r="1787" spans="17:19" x14ac:dyDescent="0.2">
      <c r="Q1787" s="3"/>
      <c r="S1787" s="3"/>
    </row>
    <row r="1788" spans="17:19" x14ac:dyDescent="0.2">
      <c r="Q1788" s="3"/>
      <c r="S1788" s="3"/>
    </row>
    <row r="1789" spans="17:19" x14ac:dyDescent="0.2">
      <c r="Q1789" s="3"/>
      <c r="S1789" s="3"/>
    </row>
    <row r="1790" spans="17:19" x14ac:dyDescent="0.2">
      <c r="Q1790" s="3"/>
      <c r="S1790" s="3"/>
    </row>
    <row r="1791" spans="17:19" x14ac:dyDescent="0.2">
      <c r="Q1791" s="3"/>
      <c r="S1791" s="3"/>
    </row>
    <row r="1792" spans="17:19" x14ac:dyDescent="0.2">
      <c r="Q1792" s="3"/>
      <c r="S1792" s="3"/>
    </row>
    <row r="1793" spans="17:19" x14ac:dyDescent="0.2">
      <c r="Q1793" s="3"/>
      <c r="S1793" s="3"/>
    </row>
    <row r="1794" spans="17:19" x14ac:dyDescent="0.2">
      <c r="Q1794" s="3"/>
      <c r="S1794" s="3"/>
    </row>
    <row r="1795" spans="17:19" x14ac:dyDescent="0.2">
      <c r="Q1795" s="3"/>
      <c r="S1795" s="3"/>
    </row>
    <row r="1796" spans="17:19" x14ac:dyDescent="0.2">
      <c r="Q1796" s="3"/>
      <c r="S1796" s="3"/>
    </row>
    <row r="1797" spans="17:19" x14ac:dyDescent="0.2">
      <c r="Q1797" s="3"/>
      <c r="S1797" s="3"/>
    </row>
    <row r="1798" spans="17:19" x14ac:dyDescent="0.2">
      <c r="Q1798" s="3"/>
      <c r="S1798" s="3"/>
    </row>
    <row r="1799" spans="17:19" x14ac:dyDescent="0.2">
      <c r="Q1799" s="3"/>
      <c r="S1799" s="3"/>
    </row>
    <row r="1800" spans="17:19" x14ac:dyDescent="0.2">
      <c r="Q1800" s="3"/>
      <c r="S1800" s="3"/>
    </row>
    <row r="1801" spans="17:19" x14ac:dyDescent="0.2">
      <c r="Q1801" s="3"/>
      <c r="S1801" s="3"/>
    </row>
    <row r="1802" spans="17:19" x14ac:dyDescent="0.2">
      <c r="Q1802" s="3"/>
      <c r="S1802" s="3"/>
    </row>
    <row r="1803" spans="17:19" x14ac:dyDescent="0.2">
      <c r="Q1803" s="3"/>
      <c r="S1803" s="3"/>
    </row>
    <row r="1804" spans="17:19" x14ac:dyDescent="0.2">
      <c r="Q1804" s="3"/>
      <c r="S1804" s="3"/>
    </row>
    <row r="1805" spans="17:19" x14ac:dyDescent="0.2">
      <c r="Q1805" s="3"/>
      <c r="S1805" s="3"/>
    </row>
    <row r="1806" spans="17:19" x14ac:dyDescent="0.2">
      <c r="Q1806" s="3"/>
      <c r="S1806" s="3"/>
    </row>
    <row r="1807" spans="17:19" x14ac:dyDescent="0.2">
      <c r="Q1807" s="3"/>
      <c r="S1807" s="3"/>
    </row>
    <row r="1808" spans="17:19" x14ac:dyDescent="0.2">
      <c r="Q1808" s="3"/>
      <c r="S1808" s="3"/>
    </row>
    <row r="1809" spans="17:19" x14ac:dyDescent="0.2">
      <c r="Q1809" s="3"/>
      <c r="S1809" s="3"/>
    </row>
    <row r="1810" spans="17:19" x14ac:dyDescent="0.2">
      <c r="Q1810" s="3"/>
      <c r="S1810" s="3"/>
    </row>
    <row r="1811" spans="17:19" x14ac:dyDescent="0.2">
      <c r="Q1811" s="3"/>
      <c r="S1811" s="3"/>
    </row>
    <row r="1812" spans="17:19" x14ac:dyDescent="0.2">
      <c r="Q1812" s="3"/>
      <c r="S1812" s="3"/>
    </row>
    <row r="1813" spans="17:19" x14ac:dyDescent="0.2">
      <c r="Q1813" s="3"/>
      <c r="S1813" s="3"/>
    </row>
    <row r="1814" spans="17:19" x14ac:dyDescent="0.2">
      <c r="Q1814" s="3"/>
      <c r="S1814" s="3"/>
    </row>
    <row r="1815" spans="17:19" x14ac:dyDescent="0.2">
      <c r="Q1815" s="3"/>
      <c r="S1815" s="3"/>
    </row>
    <row r="1816" spans="17:19" x14ac:dyDescent="0.2">
      <c r="Q1816" s="3"/>
      <c r="S1816" s="3"/>
    </row>
    <row r="1817" spans="17:19" x14ac:dyDescent="0.2">
      <c r="Q1817" s="3"/>
      <c r="S1817" s="3"/>
    </row>
    <row r="1818" spans="17:19" x14ac:dyDescent="0.2">
      <c r="Q1818" s="3"/>
      <c r="S1818" s="3"/>
    </row>
    <row r="1819" spans="17:19" x14ac:dyDescent="0.2">
      <c r="Q1819" s="3"/>
      <c r="S1819" s="3"/>
    </row>
    <row r="1820" spans="17:19" x14ac:dyDescent="0.2">
      <c r="Q1820" s="3"/>
      <c r="S1820" s="3"/>
    </row>
    <row r="1821" spans="17:19" x14ac:dyDescent="0.2">
      <c r="Q1821" s="3"/>
      <c r="S1821" s="3"/>
    </row>
    <row r="1822" spans="17:19" x14ac:dyDescent="0.2">
      <c r="Q1822" s="3"/>
      <c r="S1822" s="3"/>
    </row>
    <row r="1823" spans="17:19" x14ac:dyDescent="0.2">
      <c r="Q1823" s="3"/>
      <c r="S1823" s="3"/>
    </row>
    <row r="1824" spans="17:19" x14ac:dyDescent="0.2">
      <c r="Q1824" s="3"/>
      <c r="S1824" s="3"/>
    </row>
    <row r="1825" spans="17:19" x14ac:dyDescent="0.2">
      <c r="Q1825" s="3"/>
      <c r="S1825" s="3"/>
    </row>
    <row r="1826" spans="17:19" x14ac:dyDescent="0.2">
      <c r="Q1826" s="3"/>
      <c r="S1826" s="3"/>
    </row>
    <row r="1827" spans="17:19" x14ac:dyDescent="0.2">
      <c r="Q1827" s="3"/>
      <c r="S1827" s="3"/>
    </row>
    <row r="1828" spans="17:19" x14ac:dyDescent="0.2">
      <c r="Q1828" s="3"/>
      <c r="S1828" s="3"/>
    </row>
    <row r="1829" spans="17:19" x14ac:dyDescent="0.2">
      <c r="Q1829" s="3"/>
      <c r="S1829" s="3"/>
    </row>
    <row r="1830" spans="17:19" x14ac:dyDescent="0.2">
      <c r="Q1830" s="3"/>
      <c r="S1830" s="3"/>
    </row>
    <row r="1831" spans="17:19" x14ac:dyDescent="0.2">
      <c r="Q1831" s="3"/>
      <c r="S1831" s="3"/>
    </row>
    <row r="1832" spans="17:19" x14ac:dyDescent="0.2">
      <c r="Q1832" s="3"/>
      <c r="S1832" s="3"/>
    </row>
    <row r="1833" spans="17:19" x14ac:dyDescent="0.2">
      <c r="Q1833" s="3"/>
      <c r="S1833" s="3"/>
    </row>
    <row r="1834" spans="17:19" x14ac:dyDescent="0.2">
      <c r="Q1834" s="3"/>
      <c r="S1834" s="3"/>
    </row>
    <row r="1835" spans="17:19" x14ac:dyDescent="0.2">
      <c r="Q1835" s="3"/>
      <c r="S1835" s="3"/>
    </row>
    <row r="1836" spans="17:19" x14ac:dyDescent="0.2">
      <c r="Q1836" s="3"/>
      <c r="S1836" s="3"/>
    </row>
    <row r="1837" spans="17:19" x14ac:dyDescent="0.2">
      <c r="Q1837" s="3"/>
      <c r="S1837" s="3"/>
    </row>
    <row r="1838" spans="17:19" x14ac:dyDescent="0.2">
      <c r="Q1838" s="3"/>
      <c r="S1838" s="3"/>
    </row>
    <row r="1839" spans="17:19" x14ac:dyDescent="0.2">
      <c r="Q1839" s="3"/>
      <c r="S1839" s="3"/>
    </row>
    <row r="1840" spans="17:19" x14ac:dyDescent="0.2">
      <c r="Q1840" s="3"/>
      <c r="S1840" s="3"/>
    </row>
    <row r="1841" spans="17:19" x14ac:dyDescent="0.2">
      <c r="Q1841" s="3"/>
      <c r="S1841" s="3"/>
    </row>
    <row r="1842" spans="17:19" x14ac:dyDescent="0.2">
      <c r="Q1842" s="3"/>
      <c r="S1842" s="3"/>
    </row>
    <row r="1843" spans="17:19" x14ac:dyDescent="0.2">
      <c r="Q1843" s="3"/>
      <c r="S1843" s="3"/>
    </row>
    <row r="1844" spans="17:19" x14ac:dyDescent="0.2">
      <c r="Q1844" s="3"/>
      <c r="S1844" s="3"/>
    </row>
    <row r="1845" spans="17:19" x14ac:dyDescent="0.2">
      <c r="Q1845" s="3"/>
      <c r="S1845" s="3"/>
    </row>
    <row r="1846" spans="17:19" x14ac:dyDescent="0.2">
      <c r="Q1846" s="3"/>
      <c r="S1846" s="3"/>
    </row>
    <row r="1847" spans="17:19" x14ac:dyDescent="0.2">
      <c r="Q1847" s="3"/>
      <c r="S1847" s="3"/>
    </row>
    <row r="1848" spans="17:19" x14ac:dyDescent="0.2">
      <c r="Q1848" s="3"/>
      <c r="S1848" s="3"/>
    </row>
    <row r="1849" spans="17:19" x14ac:dyDescent="0.2">
      <c r="Q1849" s="3"/>
      <c r="S1849" s="3"/>
    </row>
    <row r="1850" spans="17:19" x14ac:dyDescent="0.2">
      <c r="Q1850" s="3"/>
      <c r="S1850" s="3"/>
    </row>
    <row r="1851" spans="17:19" x14ac:dyDescent="0.2">
      <c r="Q1851" s="3"/>
      <c r="S1851" s="3"/>
    </row>
    <row r="1852" spans="17:19" x14ac:dyDescent="0.2">
      <c r="Q1852" s="3"/>
      <c r="S1852" s="3"/>
    </row>
    <row r="1853" spans="17:19" x14ac:dyDescent="0.2">
      <c r="Q1853" s="3"/>
      <c r="S1853" s="3"/>
    </row>
    <row r="1854" spans="17:19" x14ac:dyDescent="0.2">
      <c r="Q1854" s="3"/>
      <c r="S1854" s="3"/>
    </row>
    <row r="1855" spans="17:19" x14ac:dyDescent="0.2">
      <c r="Q1855" s="3"/>
      <c r="S1855" s="3"/>
    </row>
    <row r="1856" spans="17:19" x14ac:dyDescent="0.2">
      <c r="Q1856" s="3"/>
      <c r="S1856" s="3"/>
    </row>
    <row r="1857" spans="17:19" x14ac:dyDescent="0.2">
      <c r="Q1857" s="3"/>
      <c r="S1857" s="3"/>
    </row>
    <row r="1858" spans="17:19" x14ac:dyDescent="0.2">
      <c r="Q1858" s="3"/>
      <c r="S1858" s="3"/>
    </row>
    <row r="1859" spans="17:19" x14ac:dyDescent="0.2">
      <c r="Q1859" s="3"/>
      <c r="S1859" s="3"/>
    </row>
    <row r="1860" spans="17:19" x14ac:dyDescent="0.2">
      <c r="Q1860" s="3"/>
      <c r="S1860" s="3"/>
    </row>
    <row r="1861" spans="17:19" x14ac:dyDescent="0.2">
      <c r="Q1861" s="3"/>
      <c r="S1861" s="3"/>
    </row>
    <row r="1862" spans="17:19" x14ac:dyDescent="0.2">
      <c r="Q1862" s="3"/>
      <c r="S1862" s="3"/>
    </row>
    <row r="1863" spans="17:19" x14ac:dyDescent="0.2">
      <c r="Q1863" s="3"/>
      <c r="S1863" s="3"/>
    </row>
    <row r="1864" spans="17:19" x14ac:dyDescent="0.2">
      <c r="Q1864" s="3"/>
      <c r="S1864" s="3"/>
    </row>
    <row r="1865" spans="17:19" x14ac:dyDescent="0.2">
      <c r="Q1865" s="3"/>
      <c r="S1865" s="3"/>
    </row>
    <row r="1866" spans="17:19" x14ac:dyDescent="0.2">
      <c r="Q1866" s="3"/>
      <c r="S1866" s="3"/>
    </row>
    <row r="1867" spans="17:19" x14ac:dyDescent="0.2">
      <c r="Q1867" s="3"/>
      <c r="S1867" s="3"/>
    </row>
    <row r="1868" spans="17:19" x14ac:dyDescent="0.2">
      <c r="Q1868" s="3"/>
      <c r="S1868" s="3"/>
    </row>
    <row r="1869" spans="17:19" x14ac:dyDescent="0.2">
      <c r="Q1869" s="3"/>
      <c r="S1869" s="3"/>
    </row>
    <row r="1870" spans="17:19" x14ac:dyDescent="0.2">
      <c r="Q1870" s="3"/>
      <c r="S1870" s="3"/>
    </row>
    <row r="1871" spans="17:19" x14ac:dyDescent="0.2">
      <c r="Q1871" s="3"/>
      <c r="S1871" s="3"/>
    </row>
    <row r="1872" spans="17:19" x14ac:dyDescent="0.2">
      <c r="Q1872" s="3"/>
      <c r="S1872" s="3"/>
    </row>
    <row r="1873" spans="17:19" x14ac:dyDescent="0.2">
      <c r="Q1873" s="3"/>
      <c r="S1873" s="3"/>
    </row>
    <row r="1874" spans="17:19" x14ac:dyDescent="0.2">
      <c r="Q1874" s="3"/>
      <c r="S1874" s="3"/>
    </row>
    <row r="1875" spans="17:19" x14ac:dyDescent="0.2">
      <c r="Q1875" s="3"/>
      <c r="S1875" s="3"/>
    </row>
    <row r="1876" spans="17:19" x14ac:dyDescent="0.2">
      <c r="Q1876" s="3"/>
      <c r="S1876" s="3"/>
    </row>
    <row r="1877" spans="17:19" x14ac:dyDescent="0.2">
      <c r="Q1877" s="3"/>
      <c r="S1877" s="3"/>
    </row>
    <row r="1878" spans="17:19" x14ac:dyDescent="0.2">
      <c r="Q1878" s="3"/>
      <c r="S1878" s="3"/>
    </row>
    <row r="1879" spans="17:19" x14ac:dyDescent="0.2">
      <c r="Q1879" s="3"/>
      <c r="S1879" s="3"/>
    </row>
    <row r="1880" spans="17:19" x14ac:dyDescent="0.2">
      <c r="Q1880" s="3"/>
      <c r="S1880" s="3"/>
    </row>
    <row r="1881" spans="17:19" x14ac:dyDescent="0.2">
      <c r="Q1881" s="3"/>
      <c r="S1881" s="3"/>
    </row>
    <row r="1882" spans="17:19" x14ac:dyDescent="0.2">
      <c r="Q1882" s="3"/>
      <c r="S1882" s="3"/>
    </row>
    <row r="1883" spans="17:19" x14ac:dyDescent="0.2">
      <c r="Q1883" s="3"/>
      <c r="S1883" s="3"/>
    </row>
    <row r="1884" spans="17:19" x14ac:dyDescent="0.2">
      <c r="Q1884" s="3"/>
      <c r="S1884" s="3"/>
    </row>
    <row r="1885" spans="17:19" x14ac:dyDescent="0.2">
      <c r="Q1885" s="3"/>
      <c r="S1885" s="3"/>
    </row>
    <row r="1886" spans="17:19" x14ac:dyDescent="0.2">
      <c r="Q1886" s="3"/>
      <c r="S1886" s="3"/>
    </row>
    <row r="1887" spans="17:19" x14ac:dyDescent="0.2">
      <c r="Q1887" s="3"/>
      <c r="S1887" s="3"/>
    </row>
    <row r="1888" spans="17:19" x14ac:dyDescent="0.2">
      <c r="Q1888" s="3"/>
      <c r="S1888" s="3"/>
    </row>
    <row r="1889" spans="17:19" x14ac:dyDescent="0.2">
      <c r="Q1889" s="3"/>
      <c r="S1889" s="3"/>
    </row>
    <row r="1890" spans="17:19" x14ac:dyDescent="0.2">
      <c r="Q1890" s="3"/>
      <c r="S1890" s="3"/>
    </row>
    <row r="1891" spans="17:19" x14ac:dyDescent="0.2">
      <c r="Q1891" s="3"/>
      <c r="S1891" s="3"/>
    </row>
    <row r="1892" spans="17:19" x14ac:dyDescent="0.2">
      <c r="Q1892" s="3"/>
      <c r="S1892" s="3"/>
    </row>
    <row r="1893" spans="17:19" x14ac:dyDescent="0.2">
      <c r="Q1893" s="3"/>
      <c r="S1893" s="3"/>
    </row>
    <row r="1894" spans="17:19" x14ac:dyDescent="0.2">
      <c r="Q1894" s="3"/>
      <c r="S1894" s="3"/>
    </row>
    <row r="1895" spans="17:19" x14ac:dyDescent="0.2">
      <c r="Q1895" s="3"/>
      <c r="S1895" s="3"/>
    </row>
    <row r="1896" spans="17:19" x14ac:dyDescent="0.2">
      <c r="Q1896" s="3"/>
      <c r="S1896" s="3"/>
    </row>
    <row r="1897" spans="17:19" x14ac:dyDescent="0.2">
      <c r="Q1897" s="3"/>
      <c r="S1897" s="3"/>
    </row>
    <row r="1898" spans="17:19" x14ac:dyDescent="0.2">
      <c r="Q1898" s="3"/>
      <c r="S1898" s="3"/>
    </row>
    <row r="1899" spans="17:19" x14ac:dyDescent="0.2">
      <c r="Q1899" s="3"/>
      <c r="S1899" s="3"/>
    </row>
    <row r="1900" spans="17:19" x14ac:dyDescent="0.2">
      <c r="Q1900" s="3"/>
      <c r="S1900" s="3"/>
    </row>
    <row r="1901" spans="17:19" x14ac:dyDescent="0.2">
      <c r="Q1901" s="3"/>
      <c r="S1901" s="3"/>
    </row>
    <row r="1902" spans="17:19" x14ac:dyDescent="0.2">
      <c r="Q1902" s="3"/>
      <c r="S1902" s="3"/>
    </row>
    <row r="1903" spans="17:19" x14ac:dyDescent="0.2">
      <c r="Q1903" s="3"/>
      <c r="S1903" s="3"/>
    </row>
    <row r="1904" spans="17:19" x14ac:dyDescent="0.2">
      <c r="Q1904" s="3"/>
      <c r="S1904" s="3"/>
    </row>
    <row r="1905" spans="17:19" x14ac:dyDescent="0.2">
      <c r="Q1905" s="3"/>
      <c r="S1905" s="3"/>
    </row>
    <row r="1906" spans="17:19" x14ac:dyDescent="0.2">
      <c r="Q1906" s="3"/>
      <c r="S1906" s="3"/>
    </row>
    <row r="1907" spans="17:19" x14ac:dyDescent="0.2">
      <c r="Q1907" s="3"/>
      <c r="S1907" s="3"/>
    </row>
    <row r="1908" spans="17:19" x14ac:dyDescent="0.2">
      <c r="Q1908" s="3"/>
      <c r="S1908" s="3"/>
    </row>
    <row r="1909" spans="17:19" x14ac:dyDescent="0.2">
      <c r="Q1909" s="3"/>
      <c r="S1909" s="3"/>
    </row>
    <row r="1910" spans="17:19" x14ac:dyDescent="0.2">
      <c r="Q1910" s="3"/>
      <c r="S1910" s="3"/>
    </row>
    <row r="1911" spans="17:19" x14ac:dyDescent="0.2">
      <c r="Q1911" s="3"/>
      <c r="S1911" s="3"/>
    </row>
    <row r="1912" spans="17:19" x14ac:dyDescent="0.2">
      <c r="Q1912" s="3"/>
      <c r="S1912" s="3"/>
    </row>
    <row r="1913" spans="17:19" x14ac:dyDescent="0.2">
      <c r="Q1913" s="3"/>
      <c r="S1913" s="3"/>
    </row>
    <row r="1914" spans="17:19" x14ac:dyDescent="0.2">
      <c r="Q1914" s="3"/>
      <c r="S1914" s="3"/>
    </row>
    <row r="1915" spans="17:19" x14ac:dyDescent="0.2">
      <c r="Q1915" s="3"/>
      <c r="S1915" s="3"/>
    </row>
    <row r="1916" spans="17:19" x14ac:dyDescent="0.2">
      <c r="Q1916" s="3"/>
      <c r="S1916" s="3"/>
    </row>
    <row r="1917" spans="17:19" x14ac:dyDescent="0.2">
      <c r="Q1917" s="3"/>
      <c r="S1917" s="3"/>
    </row>
    <row r="1918" spans="17:19" x14ac:dyDescent="0.2">
      <c r="Q1918" s="3"/>
      <c r="S1918" s="3"/>
    </row>
    <row r="1919" spans="17:19" x14ac:dyDescent="0.2">
      <c r="Q1919" s="3"/>
      <c r="S1919" s="3"/>
    </row>
    <row r="1920" spans="17:19" x14ac:dyDescent="0.2">
      <c r="Q1920" s="3"/>
      <c r="S1920" s="3"/>
    </row>
    <row r="1921" spans="17:19" x14ac:dyDescent="0.2">
      <c r="Q1921" s="3"/>
      <c r="S1921" s="3"/>
    </row>
    <row r="1922" spans="17:19" x14ac:dyDescent="0.2">
      <c r="Q1922" s="3"/>
      <c r="S1922" s="3"/>
    </row>
    <row r="1923" spans="17:19" x14ac:dyDescent="0.2">
      <c r="Q1923" s="3"/>
      <c r="S1923" s="3"/>
    </row>
    <row r="1924" spans="17:19" x14ac:dyDescent="0.2">
      <c r="Q1924" s="3"/>
      <c r="S1924" s="3"/>
    </row>
    <row r="1925" spans="17:19" x14ac:dyDescent="0.2">
      <c r="Q1925" s="3"/>
      <c r="S1925" s="3"/>
    </row>
    <row r="1926" spans="17:19" x14ac:dyDescent="0.2">
      <c r="Q1926" s="3"/>
      <c r="S1926" s="3"/>
    </row>
    <row r="1927" spans="17:19" x14ac:dyDescent="0.2">
      <c r="Q1927" s="3"/>
      <c r="S1927" s="3"/>
    </row>
    <row r="1928" spans="17:19" x14ac:dyDescent="0.2">
      <c r="Q1928" s="3"/>
      <c r="S1928" s="3"/>
    </row>
    <row r="1929" spans="17:19" x14ac:dyDescent="0.2">
      <c r="Q1929" s="3"/>
      <c r="S1929" s="3"/>
    </row>
    <row r="1930" spans="17:19" x14ac:dyDescent="0.2">
      <c r="Q1930" s="3"/>
      <c r="S1930" s="3"/>
    </row>
    <row r="1931" spans="17:19" x14ac:dyDescent="0.2">
      <c r="Q1931" s="3"/>
      <c r="S1931" s="3"/>
    </row>
    <row r="1932" spans="17:19" x14ac:dyDescent="0.2">
      <c r="Q1932" s="3"/>
      <c r="S1932" s="3"/>
    </row>
    <row r="1933" spans="17:19" x14ac:dyDescent="0.2">
      <c r="Q1933" s="3"/>
      <c r="S1933" s="3"/>
    </row>
    <row r="1934" spans="17:19" x14ac:dyDescent="0.2">
      <c r="Q1934" s="3"/>
      <c r="S1934" s="3"/>
    </row>
    <row r="1935" spans="17:19" x14ac:dyDescent="0.2">
      <c r="Q1935" s="3"/>
      <c r="S1935" s="3"/>
    </row>
    <row r="1936" spans="17:19" x14ac:dyDescent="0.2">
      <c r="Q1936" s="3"/>
      <c r="S1936" s="3"/>
    </row>
    <row r="1937" spans="17:19" x14ac:dyDescent="0.2">
      <c r="Q1937" s="3"/>
      <c r="S1937" s="3"/>
    </row>
    <row r="1938" spans="17:19" x14ac:dyDescent="0.2">
      <c r="Q1938" s="3"/>
      <c r="S1938" s="3"/>
    </row>
    <row r="1939" spans="17:19" x14ac:dyDescent="0.2">
      <c r="Q1939" s="3"/>
      <c r="S1939" s="3"/>
    </row>
    <row r="1940" spans="17:19" x14ac:dyDescent="0.2">
      <c r="Q1940" s="3"/>
      <c r="S1940" s="3"/>
    </row>
    <row r="1941" spans="17:19" x14ac:dyDescent="0.2">
      <c r="Q1941" s="3"/>
      <c r="S1941" s="3"/>
    </row>
    <row r="1942" spans="17:19" x14ac:dyDescent="0.2">
      <c r="Q1942" s="3"/>
      <c r="S1942" s="3"/>
    </row>
    <row r="1943" spans="17:19" x14ac:dyDescent="0.2">
      <c r="Q1943" s="3"/>
      <c r="S1943" s="3"/>
    </row>
    <row r="1944" spans="17:19" x14ac:dyDescent="0.2">
      <c r="Q1944" s="3"/>
      <c r="S1944" s="3"/>
    </row>
    <row r="1945" spans="17:19" x14ac:dyDescent="0.2">
      <c r="Q1945" s="3"/>
      <c r="S1945" s="3"/>
    </row>
    <row r="1946" spans="17:19" x14ac:dyDescent="0.2">
      <c r="Q1946" s="3"/>
      <c r="S1946" s="3"/>
    </row>
    <row r="1947" spans="17:19" x14ac:dyDescent="0.2">
      <c r="Q1947" s="3"/>
      <c r="S1947" s="3"/>
    </row>
  </sheetData>
  <mergeCells count="57">
    <mergeCell ref="A1:D1"/>
    <mergeCell ref="C5:D5"/>
    <mergeCell ref="A26:D26"/>
    <mergeCell ref="A28:D28"/>
    <mergeCell ref="B44:C44"/>
    <mergeCell ref="C7:D7"/>
    <mergeCell ref="B10:C10"/>
    <mergeCell ref="B20:C20"/>
    <mergeCell ref="C6:D6"/>
    <mergeCell ref="B18:C18"/>
    <mergeCell ref="A2:D2"/>
    <mergeCell ref="A3:D3"/>
    <mergeCell ref="B4:D4"/>
    <mergeCell ref="A50:D50"/>
    <mergeCell ref="B21:C21"/>
    <mergeCell ref="B27:D27"/>
    <mergeCell ref="A39:D39"/>
    <mergeCell ref="B22:C22"/>
    <mergeCell ref="B48:C48"/>
    <mergeCell ref="B45:C45"/>
    <mergeCell ref="B43:C43"/>
    <mergeCell ref="C41:D41"/>
    <mergeCell ref="B42:C42"/>
    <mergeCell ref="B40:D40"/>
    <mergeCell ref="C24:D24"/>
    <mergeCell ref="B46:C46"/>
    <mergeCell ref="B47:C47"/>
    <mergeCell ref="B66:D66"/>
    <mergeCell ref="C67:D67"/>
    <mergeCell ref="B69:D69"/>
    <mergeCell ref="B92:D92"/>
    <mergeCell ref="B93:D93"/>
    <mergeCell ref="C77:D77"/>
    <mergeCell ref="B79:D79"/>
    <mergeCell ref="B76:D76"/>
    <mergeCell ref="B80:D80"/>
    <mergeCell ref="B57:D57"/>
    <mergeCell ref="C59:D59"/>
    <mergeCell ref="B60:D60"/>
    <mergeCell ref="B63:D63"/>
    <mergeCell ref="A62:D62"/>
    <mergeCell ref="AK1:AL1"/>
    <mergeCell ref="B72:D72"/>
    <mergeCell ref="C85:D85"/>
    <mergeCell ref="B91:D91"/>
    <mergeCell ref="B90:D90"/>
    <mergeCell ref="C86:D86"/>
    <mergeCell ref="C73:D73"/>
    <mergeCell ref="B81:D81"/>
    <mergeCell ref="B83:D83"/>
    <mergeCell ref="B82:D82"/>
    <mergeCell ref="C70:D70"/>
    <mergeCell ref="B54:D54"/>
    <mergeCell ref="B56:D56"/>
    <mergeCell ref="B58:D58"/>
    <mergeCell ref="C64:D64"/>
    <mergeCell ref="C61:D61"/>
  </mergeCells>
  <phoneticPr fontId="1" type="noConversion"/>
  <conditionalFormatting sqref="H60:AX60">
    <cfRule type="expression" dxfId="1" priority="24" stopIfTrue="1">
      <formula>H56&gt;H58</formula>
    </cfRule>
  </conditionalFormatting>
  <conditionalFormatting sqref="H61:AX61">
    <cfRule type="expression" dxfId="0" priority="28" stopIfTrue="1">
      <formula>H56&gt;H59</formula>
    </cfRule>
  </conditionalFormatting>
  <pageMargins left="0.31496062992125984" right="0.31496062992125984" top="0.74803149606299213" bottom="0.70866141732283472" header="0.27559055118110237" footer="0.31496062992125984"/>
  <pageSetup paperSize="8" scale="60" orientation="landscape" r:id="rId1"/>
  <headerFooter alignWithMargins="0"/>
  <rowBreaks count="1" manualBreakCount="1">
    <brk id="54" max="53" man="1"/>
  </rowBreaks>
  <ignoredErrors>
    <ignoredError sqref="A5:A24 A30:A38 A41 A84:A89 A60:A61 A83 A64:A82 A59" twoDigitTextYear="1"/>
    <ignoredError sqref="U57" formula="1"/>
    <ignoredError sqref="Z27:AB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FD3CC-B29E-4F55-A408-43EDA235D627}">
  <dimension ref="A1"/>
  <sheetViews>
    <sheetView workbookViewId="0">
      <selection activeCell="E12" sqref="E1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Arkusz1</vt:lpstr>
      <vt:lpstr>Arkusz2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Eichhof Joanna</cp:lastModifiedBy>
  <cp:lastPrinted>2023-04-27T07:46:37Z</cp:lastPrinted>
  <dcterms:created xsi:type="dcterms:W3CDTF">2013-01-22T09:25:53Z</dcterms:created>
  <dcterms:modified xsi:type="dcterms:W3CDTF">2023-04-27T07:50:38Z</dcterms:modified>
</cp:coreProperties>
</file>